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Как пользоваться" state="visible" r:id="rId4"/>
    <sheet sheetId="2" name="Справочник" state="visible" r:id="rId5"/>
    <sheet sheetId="3" name="Операции" state="visible" r:id="rId6"/>
    <sheet sheetId="4" name="БДР" state="visible" r:id="rId7"/>
    <sheet sheetId="5" name="План" state="visible" r:id="rId8"/>
    <sheet sheetId="6" name="План-факт" state="visible" r:id="rId9"/>
    <sheet sheetId="7" name="По направлениям" state="visible" r:id="rId10"/>
    <sheet sheetId="8" name="ДДС" state="visible" r:id="rId11"/>
    <sheet sheetId="9" name="Сверка" state="visible" r:id="rId12"/>
  </sheets>
  <calcPr calcId="171027" fullCalcOnLoad="1"/>
</workbook>
</file>

<file path=xl/sharedStrings.xml><?xml version="1.0" encoding="utf-8"?>
<sst xmlns="http://schemas.openxmlformats.org/spreadsheetml/2006/main" count="670" uniqueCount="209">
  <si>
    <t/>
  </si>
  <si>
    <t>ШАБЛОН УПРАВЛЕНЧЕСКОГО УЧЁТА</t>
  </si>
  <si>
    <t>antonvlasov.ru — статья «Таблица учёта доходов и расходов»</t>
  </si>
  <si>
    <t>Заполняете вы два листа: «Операции» (что происходило с деньгами) и «План» (что хотели).</t>
  </si>
  <si>
    <t>Остальные шесть считаются формулами и обновляются сами.</t>
  </si>
  <si>
    <t>ПОРЯДОК ПЕРВОГО ДНЯ</t>
  </si>
  <si>
    <t>1. Откройте «Справочник»: слева статьи по группам, справа направления бизнеса и счета.</t>
  </si>
  <si>
    <t xml:space="preserve">   Подгоните под себя. Правило: статей столько, сколько решений вы по ним принимаете.</t>
  </si>
  <si>
    <t>2. Внесите операции за прошлый месяц. Тип, направление, статья и счёт выбираются из</t>
  </si>
  <si>
    <t xml:space="preserve">   выпадающих списков — руками там ничего писать не надо.</t>
  </si>
  <si>
    <t>3. Откройте «БДР»: выручка, прямые расходы, валовая прибыль, операционные расходы по</t>
  </si>
  <si>
    <t xml:space="preserve">   отделам, операционная прибыль, налоги, чистая прибыль, рентабельность.</t>
  </si>
  <si>
    <t>4. Заполните «План» и смотрите отклонения на листе «План-факт».</t>
  </si>
  <si>
    <t>ЧТО ГДЕ СМОТРЕТЬ</t>
  </si>
  <si>
    <t>«БДР» — сколько заработали и на чём. Отвечает на вопрос «мы вообще прибыльны».</t>
  </si>
  <si>
    <t>«По направлениям» — какой продукт зарабатывает, а какой живёт за счёт остальных.</t>
  </si>
  <si>
    <t xml:space="preserve">   Общие расходы разносятся по доле выручки: аренду и админку нельзя отнести к одному продукту.</t>
  </si>
  <si>
    <t>«ДДС» — движение денег по месяцам. Отвечает на вопрос «чем платить в четверг».</t>
  </si>
  <si>
    <t>«Сверка» — контроль: остаток по таблице против остатка в банке. Расхождение = ошибка ввода.</t>
  </si>
  <si>
    <t>ТРИ ПРАВИЛА, БЕЗ КОТОРЫХ ТАБЛИЦА ВРЁТ</t>
  </si>
  <si>
    <t>1. Дата в «Операциях» — дата движения денег, а не дата акта.</t>
  </si>
  <si>
    <t>2. Переводы между своими счетами вносятся типом «Перевод»: в БДР они не попадают, иначе</t>
  </si>
  <si>
    <t xml:space="preserve">   оборот раздувается вдвое на пустом месте.</t>
  </si>
  <si>
    <t>3. Дивиденды, фонд развития и резерв — распределение уже заработанной прибыли. В расходы</t>
  </si>
  <si>
    <t xml:space="preserve">   бизнеса они не идут и показаны отдельным блоком под чистой прибылью.</t>
  </si>
  <si>
    <t>В файле заполнен пример за первый квартал, чтобы было видно, как всё считается.</t>
  </si>
  <si>
    <t>Свои данные вносите с апреля или удалите пример и начните с чистого листа.</t>
  </si>
  <si>
    <t>Группа</t>
  </si>
  <si>
    <t>Статья</t>
  </si>
  <si>
    <t>Тип</t>
  </si>
  <si>
    <t>Направления бизнеса</t>
  </si>
  <si>
    <t>Счета</t>
  </si>
  <si>
    <t>Выручка</t>
  </si>
  <si>
    <t>Выручка: основной продукт</t>
  </si>
  <si>
    <t>Приход</t>
  </si>
  <si>
    <t>Продукт А</t>
  </si>
  <si>
    <t>Расчётный счёт</t>
  </si>
  <si>
    <t>Выручка: второй продукт</t>
  </si>
  <si>
    <t>Продукт Б</t>
  </si>
  <si>
    <t>Наличные</t>
  </si>
  <si>
    <t>Выручка: разовые работы</t>
  </si>
  <si>
    <t>Услуги</t>
  </si>
  <si>
    <t>Карта для бизнеса</t>
  </si>
  <si>
    <t>Не выручка</t>
  </si>
  <si>
    <t>Возврат от поставщика</t>
  </si>
  <si>
    <t>Общее</t>
  </si>
  <si>
    <t>Депозит: резервный фонд</t>
  </si>
  <si>
    <t>Займ или пополнение от собственника</t>
  </si>
  <si>
    <t>«Общее» — расходы, которые</t>
  </si>
  <si>
    <t>Счёт непризнанной выручки</t>
  </si>
  <si>
    <t>Прямые расходы</t>
  </si>
  <si>
    <t>ФОТ производства</t>
  </si>
  <si>
    <t>Расход</t>
  </si>
  <si>
    <t>нельзя отнести к одному</t>
  </si>
  <si>
    <t>Подрядчики по проектам</t>
  </si>
  <si>
    <t>направлению. Разносятся</t>
  </si>
  <si>
    <t>Сервисы под конкретный проект</t>
  </si>
  <si>
    <t>по доле выручки.</t>
  </si>
  <si>
    <t>Материалы и закупка</t>
  </si>
  <si>
    <t>ФОТ</t>
  </si>
  <si>
    <t>ФОТ маркетинга</t>
  </si>
  <si>
    <t>ФОТ продаж</t>
  </si>
  <si>
    <t>ФОТ администрации</t>
  </si>
  <si>
    <t>Маркетинг</t>
  </si>
  <si>
    <t>Рекламные бюджеты</t>
  </si>
  <si>
    <t>Подрядчики маркетинга</t>
  </si>
  <si>
    <t>Контент и продакшн</t>
  </si>
  <si>
    <t>Продажи</t>
  </si>
  <si>
    <t>Комиссии и бонусы продавцов</t>
  </si>
  <si>
    <t>CRM и телефония</t>
  </si>
  <si>
    <t>Администрирование</t>
  </si>
  <si>
    <t>Аренда и коммуналка</t>
  </si>
  <si>
    <t>Бухгалтерия и юристы</t>
  </si>
  <si>
    <t>Сервисы и подписки</t>
  </si>
  <si>
    <t>Банковские комиссии</t>
  </si>
  <si>
    <t>Обучение и книги</t>
  </si>
  <si>
    <t>Налоги</t>
  </si>
  <si>
    <t>Налог с дохода</t>
  </si>
  <si>
    <t>Страховые взносы</t>
  </si>
  <si>
    <t>Распределение прибыли</t>
  </si>
  <si>
    <t>Дивиденды</t>
  </si>
  <si>
    <t>В фонд развития</t>
  </si>
  <si>
    <t>В резервный фонд</t>
  </si>
  <si>
    <t>Дата</t>
  </si>
  <si>
    <t>Направление</t>
  </si>
  <si>
    <t>Сумма</t>
  </si>
  <si>
    <t>Счёт</t>
  </si>
  <si>
    <t>Контрагент</t>
  </si>
  <si>
    <t>Комментарий</t>
  </si>
  <si>
    <t>ООО «Клиент»</t>
  </si>
  <si>
    <t>январь</t>
  </si>
  <si>
    <t>ИП Петров</t>
  </si>
  <si>
    <t>команда</t>
  </si>
  <si>
    <t>зарплата за декабрь</t>
  </si>
  <si>
    <t>арендодатель</t>
  </si>
  <si>
    <t>Яндекс Директ</t>
  </si>
  <si>
    <t>январь, срезали на праздниках</t>
  </si>
  <si>
    <t>оклады</t>
  </si>
  <si>
    <t>разные</t>
  </si>
  <si>
    <t>аутсорс</t>
  </si>
  <si>
    <t>февраль</t>
  </si>
  <si>
    <t>ООО «Заказчик»</t>
  </si>
  <si>
    <t>разовый проект</t>
  </si>
  <si>
    <t>зарплата за январь</t>
  </si>
  <si>
    <t>дизайнер</t>
  </si>
  <si>
    <t>макеты</t>
  </si>
  <si>
    <t>процент с продаж</t>
  </si>
  <si>
    <t>март</t>
  </si>
  <si>
    <t>предоплата за квартал</t>
  </si>
  <si>
    <t>зарплата за февраль</t>
  </si>
  <si>
    <t>сервис</t>
  </si>
  <si>
    <t>под проект клиента</t>
  </si>
  <si>
    <t>офис-менеджер, финансист</t>
  </si>
  <si>
    <t>Перевод</t>
  </si>
  <si>
    <t>свой счёт</t>
  </si>
  <si>
    <t>откладываем жирок — в БДР не попадёт</t>
  </si>
  <si>
    <t>монтажёр</t>
  </si>
  <si>
    <t>ролики</t>
  </si>
  <si>
    <t>CRM</t>
  </si>
  <si>
    <t>почта, хранилище, аналитика</t>
  </si>
  <si>
    <t>ФНС</t>
  </si>
  <si>
    <t>аванс за квартал</t>
  </si>
  <si>
    <t>собственники</t>
  </si>
  <si>
    <t>по правилу вывода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</si>
  <si>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</si>
  <si>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</si>
  <si>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</si>
  <si>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</si>
  <si>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</si>
  <si>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</si>
  <si>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</si>
  <si>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</si>
  <si>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</si>
  <si>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</si>
  <si>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</si>
  <si>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</si>
  <si>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Год</t>
  </si>
  <si>
    <t>ВЫРУЧКА</t>
  </si>
  <si>
    <t xml:space="preserve">   Выручка: основной продукт</t>
  </si>
  <si>
    <t xml:space="preserve">   Выручка: второй продукт</t>
  </si>
  <si>
    <t xml:space="preserve">   Выручка: разовые работы</t>
  </si>
  <si>
    <t>ПРЯМЫЕ РАСХОДЫ (себестоимость)</t>
  </si>
  <si>
    <t xml:space="preserve">   ФОТ производства</t>
  </si>
  <si>
    <t xml:space="preserve">   Подрядчики по проектам</t>
  </si>
  <si>
    <t xml:space="preserve">   Сервисы под конкретный проект</t>
  </si>
  <si>
    <t xml:space="preserve">   Материалы и закупка</t>
  </si>
  <si>
    <t>ВАЛОВАЯ ПРИБЫЛЬ</t>
  </si>
  <si>
    <t xml:space="preserve">   Валовая маржа, % от выручки</t>
  </si>
  <si>
    <t xml:space="preserve">   ФОТ маркетинга</t>
  </si>
  <si>
    <t xml:space="preserve">   ФОТ продаж</t>
  </si>
  <si>
    <t xml:space="preserve">   ФОТ администрации</t>
  </si>
  <si>
    <t>МАРКЕТИНГ</t>
  </si>
  <si>
    <t xml:space="preserve">   Рекламные бюджеты</t>
  </si>
  <si>
    <t xml:space="preserve">   Подрядчики маркетинга</t>
  </si>
  <si>
    <t xml:space="preserve">   Контент и продакшн</t>
  </si>
  <si>
    <t>ПРОДАЖИ</t>
  </si>
  <si>
    <t xml:space="preserve">   Комиссии и бонусы продавцов</t>
  </si>
  <si>
    <t xml:space="preserve">   CRM и телефония</t>
  </si>
  <si>
    <t>АДМИНИСТРИРОВАНИЕ</t>
  </si>
  <si>
    <t xml:space="preserve">   Аренда и коммуналка</t>
  </si>
  <si>
    <t xml:space="preserve">   Бухгалтерия и юристы</t>
  </si>
  <si>
    <t xml:space="preserve">   Сервисы и подписки</t>
  </si>
  <si>
    <t xml:space="preserve">   Банковские комиссии</t>
  </si>
  <si>
    <t xml:space="preserve">   Обучение и книги</t>
  </si>
  <si>
    <t>ВСЕГО ОПЕРАЦИОННЫХ РАСХОДОВ</t>
  </si>
  <si>
    <t xml:space="preserve">   Маркетинг, % от выручки</t>
  </si>
  <si>
    <t xml:space="preserve">   ФОТ всего, % от выручки</t>
  </si>
  <si>
    <t>ОПЕРАЦИОННАЯ ПРИБЫЛЬ</t>
  </si>
  <si>
    <t>НАЛОГИ</t>
  </si>
  <si>
    <t>ЧИСТАЯ ПРИБЫЛЬ</t>
  </si>
  <si>
    <t xml:space="preserve">   Рентабельность по чистой прибыли</t>
  </si>
  <si>
    <t>РАСПРЕДЕЛЕНИЕ ПРИБЫЛИ (не расход бизнеса)</t>
  </si>
  <si>
    <t xml:space="preserve">   Дивиденды</t>
  </si>
  <si>
    <t xml:space="preserve">   В фонд развития</t>
  </si>
  <si>
    <t xml:space="preserve">   В резервный фонд</t>
  </si>
  <si>
    <t>Переводы между своими счетами в БДР не попадают. Дивиденды и фонды — распределение прибыли, а не расход.</t>
  </si>
  <si>
    <t>ОПЕРАЦИОННЫЕ РАСХОДЫ</t>
  </si>
  <si>
    <t>Заполните строки на год вперёд. Отклонения посчитает лист «План-факт».</t>
  </si>
  <si>
    <t>Показатель</t>
  </si>
  <si>
    <t>Месяц</t>
  </si>
  <si>
    <t>План</t>
  </si>
  <si>
    <t>Факт</t>
  </si>
  <si>
    <t>Отклонение</t>
  </si>
  <si>
    <t>% плана</t>
  </si>
  <si>
    <t>Операционные расходы</t>
  </si>
  <si>
    <t>Чистая прибыль</t>
  </si>
  <si>
    <t>Статья (за период ниже)</t>
  </si>
  <si>
    <t>Итого</t>
  </si>
  <si>
    <t>Период: с</t>
  </si>
  <si>
    <t>по</t>
  </si>
  <si>
    <t>Выручка направления</t>
  </si>
  <si>
    <t>Валовая прибыль</t>
  </si>
  <si>
    <t>Доля выручки (ключ разнесения)</t>
  </si>
  <si>
    <t>Общие расходы за период (направление «Общее»)</t>
  </si>
  <si>
    <t>Общие расходы на направление (по доле)</t>
  </si>
  <si>
    <t>Прибыль направления после общих</t>
  </si>
  <si>
    <t>Маржа направления</t>
  </si>
  <si>
    <t>Общие расходы — те, что нельзя отнести к одному направлению: аренда, админка, бухгалтерия, сервисы, CRM.</t>
  </si>
  <si>
    <t>Они разносятся по доле выручки. Это самый простой рабочий ключ; можно взять другой — по людям или по часам.</t>
  </si>
  <si>
    <t>Пришло денег</t>
  </si>
  <si>
    <t>Ушло денег</t>
  </si>
  <si>
    <t>Денежный поток за месяц</t>
  </si>
  <si>
    <t>Остаток нарастающим итогом</t>
  </si>
  <si>
    <t>ДДС отвечает на вопрос «чем платить в четверг». БДР — «сколько заработали». Это разные отчёты.</t>
  </si>
  <si>
    <t>Остаток по таблице</t>
  </si>
  <si>
    <t>Остаток в банке (руками)</t>
  </si>
  <si>
    <t>Расхождение</t>
  </si>
  <si>
    <t>Что нашли</t>
  </si>
  <si>
    <t>Расхождение должно быть нулём. Не ноль — ищите пропущенную операцию или перевод, записанный приходом.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</si>
</sst>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.mm.yyyy"/>
    <numFmt numFmtId="165" formatCode="#,##0 ₽"/>
    <numFmt numFmtId="166" formatCode="0.0%"/>
  </numFmts>
  <fonts count="8" x14ac:knownFonts="1">
    <font>
      <color theme="1"/>
      <family val="2"/>
      <scheme val="minor"/>
      <sz val="11"/>
      <name val="Calibri"/>
    </font>
    <font>
      <b/>
      <sz val="16"/>
    </font>
    <font>
      <color rgb="FF6B7280"/>
    </font>
    <font>
      <b/>
    </font>
    <font>
      <b/>
      <color rgb="FFFFFFFF"/>
    </font>
    <font>
      <i/>
      <color rgb="FF6B7280"/>
      <sz val="9"/>
    </font>
    <font>
      <b/>
      <color rgb="FF6B7280"/>
    </font>
    <font>
      <i/>
      <color rgb="FF6B7280"/>
    </font>
  </fonts>
  <fills count="7">
    <fill>
      <patternFill patternType="none"/>
    </fill>
    <fill>
      <patternFill patternType="gray125"/>
    </fill>
    <fill>
      <patternFill patternType="solid">
        <fgColor rgb="FF1F2937"/>
      </patternFill>
    </fill>
    <fill>
      <patternFill patternType="solid">
        <fgColor rgb="FFE5E7EB"/>
      </patternFill>
    </fill>
    <fill>
      <patternFill patternType="solid">
        <fgColor rgb="FFD1FAE5"/>
      </patternFill>
    </fill>
    <fill>
      <patternFill patternType="solid">
        <fgColor rgb="FFF3F4F6"/>
      </patternFill>
    </fill>
    <fill>
      <patternFill patternType="solid">
        <fgColor rgb="FFA7F3D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 wrapText="1"/>
    </xf>
    <xf numFmtId="0" fontId="5" fillId="0" borderId="0" xfId="0" applyFont="1"/>
    <xf numFmtId="164" fontId="0" fillId="0" borderId="0" xfId="0" applyNumberFormat="1"/>
    <xf numFmtId="165" fontId="0" fillId="0" borderId="0" xfId="0" applyNumberFormat="1"/>
    <xf numFmtId="0" fontId="3" fillId="3" borderId="0" xfId="0" applyFont="1" applyFill="1"/>
    <xf numFmtId="165" fontId="3" fillId="3" borderId="0" xfId="0" applyNumberFormat="1" applyFont="1" applyFill="1"/>
    <xf numFmtId="0" fontId="3" fillId="4" borderId="0" xfId="0" applyFont="1" applyFill="1"/>
    <xf numFmtId="165" fontId="3" fillId="4" borderId="0" xfId="0" applyNumberFormat="1" applyFont="1" applyFill="1"/>
    <xf numFmtId="166" fontId="0" fillId="0" borderId="0" xfId="0" applyNumberFormat="1"/>
    <xf numFmtId="0" fontId="3" fillId="5" borderId="0" xfId="0" applyFont="1" applyFill="1"/>
    <xf numFmtId="165" fontId="3" fillId="5" borderId="0" xfId="0" applyNumberFormat="1" applyFont="1" applyFill="1"/>
    <xf numFmtId="0" fontId="3" fillId="6" borderId="0" xfId="0" applyFont="1" applyFill="1"/>
    <xf numFmtId="165" fontId="3" fillId="6" borderId="0" xfId="0" applyNumberFormat="1" applyFont="1" applyFill="1"/>
    <xf numFmtId="0" fontId="6" fillId="0" borderId="0" xfId="0" applyFont="1"/>
    <xf numFmtId="0" fontId="7" fillId="0" borderId="0" xfId="0" applyFont="1"/>
    <xf numFmtId="165" fontId="3" fillId="0" borderId="0" xfId="0" applyNumberFormat="1" applyFont="1"/>
    <xf numFmtId="164" fontId="3" fillId="0" borderId="0" xfId="0" applyNumberFormat="1" applyFont="1"/>
    <xf numFmtId="165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FormatPr defaultRowHeight="15" outlineLevelRow="0" outlineLevelCol="0" x14ac:dyDescent="55"/>
  <cols>
    <col min="1" max="1" width="3" customWidth="1"/>
    <col min="2" max="2" width="112" customWidth="1"/>
  </cols>
  <sheetData>
    <row r="1" spans="1:2" x14ac:dyDescent="0.25">
      <c r="A1" t="s">
        <v>0</v>
      </c>
      <c r="B1" t="s">
        <v>0</v>
      </c>
    </row>
    <row r="2" spans="1:2" x14ac:dyDescent="0.25">
      <c r="A2" t="s">
        <v>0</v>
      </c>
      <c r="B2" s="1" t="s">
        <v>1</v>
      </c>
    </row>
    <row r="3" spans="1:2" x14ac:dyDescent="0.25">
      <c r="A3" t="s">
        <v>0</v>
      </c>
      <c r="B3" s="2" t="s">
        <v>2</v>
      </c>
    </row>
    <row r="4" spans="1:2" x14ac:dyDescent="0.25">
      <c r="A4" t="s">
        <v>0</v>
      </c>
      <c r="B4" t="s">
        <v>0</v>
      </c>
    </row>
    <row r="5" spans="1:2" x14ac:dyDescent="0.25">
      <c r="A5" t="s">
        <v>0</v>
      </c>
      <c r="B5" s="3" t="s">
        <v>3</v>
      </c>
    </row>
    <row r="6" spans="1:2" x14ac:dyDescent="0.25">
      <c r="A6" t="s">
        <v>0</v>
      </c>
      <c r="B6" t="s">
        <v>4</v>
      </c>
    </row>
    <row r="7" spans="1:2" x14ac:dyDescent="0.25">
      <c r="A7" t="s">
        <v>0</v>
      </c>
      <c r="B7" t="s">
        <v>0</v>
      </c>
    </row>
    <row r="8" spans="1:2" x14ac:dyDescent="0.25">
      <c r="A8" t="s">
        <v>0</v>
      </c>
      <c r="B8" s="3" t="s">
        <v>5</v>
      </c>
    </row>
    <row r="9" spans="1:2" x14ac:dyDescent="0.25">
      <c r="A9" t="s">
        <v>0</v>
      </c>
      <c r="B9" t="s">
        <v>6</v>
      </c>
    </row>
    <row r="10" spans="1:2" x14ac:dyDescent="0.25">
      <c r="A10" t="s">
        <v>0</v>
      </c>
      <c r="B10" t="s">
        <v>7</v>
      </c>
    </row>
    <row r="11" spans="1:2" x14ac:dyDescent="0.25">
      <c r="A11" t="s">
        <v>0</v>
      </c>
      <c r="B11" t="s">
        <v>8</v>
      </c>
    </row>
    <row r="12" spans="1:2" x14ac:dyDescent="0.25">
      <c r="A12" t="s">
        <v>0</v>
      </c>
      <c r="B12" t="s">
        <v>9</v>
      </c>
    </row>
    <row r="13" spans="1:2" x14ac:dyDescent="0.25">
      <c r="A13" t="s">
        <v>0</v>
      </c>
      <c r="B13" t="s">
        <v>10</v>
      </c>
    </row>
    <row r="14" spans="1:2" x14ac:dyDescent="0.25">
      <c r="A14" t="s">
        <v>0</v>
      </c>
      <c r="B14" t="s">
        <v>11</v>
      </c>
    </row>
    <row r="15" spans="1:2" x14ac:dyDescent="0.25">
      <c r="A15" t="s">
        <v>0</v>
      </c>
      <c r="B15" t="s">
        <v>12</v>
      </c>
    </row>
    <row r="16" spans="1:2" x14ac:dyDescent="0.25">
      <c r="A16" t="s">
        <v>0</v>
      </c>
      <c r="B16" t="s">
        <v>0</v>
      </c>
    </row>
    <row r="17" spans="1:2" x14ac:dyDescent="0.25">
      <c r="A17" t="s">
        <v>0</v>
      </c>
      <c r="B17" t="s">
        <v>13</v>
      </c>
    </row>
    <row r="18" spans="1:2" x14ac:dyDescent="0.25">
      <c r="A18" t="s">
        <v>0</v>
      </c>
      <c r="B18" s="3" t="s">
        <v>14</v>
      </c>
    </row>
    <row r="19" spans="1:2" x14ac:dyDescent="0.25">
      <c r="A19" t="s">
        <v>0</v>
      </c>
      <c r="B19" t="s">
        <v>15</v>
      </c>
    </row>
    <row r="20" spans="1:2" x14ac:dyDescent="0.25">
      <c r="A20" t="s">
        <v>0</v>
      </c>
      <c r="B20" t="s">
        <v>16</v>
      </c>
    </row>
    <row r="21" spans="1:2" x14ac:dyDescent="0.25">
      <c r="A21" t="s">
        <v>0</v>
      </c>
      <c r="B21" t="s">
        <v>17</v>
      </c>
    </row>
    <row r="22" spans="1:2" x14ac:dyDescent="0.25">
      <c r="A22" t="s">
        <v>0</v>
      </c>
      <c r="B22" t="s">
        <v>18</v>
      </c>
    </row>
    <row r="23" spans="1:2" x14ac:dyDescent="0.25">
      <c r="A23" t="s">
        <v>0</v>
      </c>
      <c r="B23" t="s">
        <v>0</v>
      </c>
    </row>
    <row r="24" spans="1:2" x14ac:dyDescent="0.25">
      <c r="A24" t="s">
        <v>0</v>
      </c>
      <c r="B24" t="s">
        <v>19</v>
      </c>
    </row>
    <row r="25" spans="1:2" x14ac:dyDescent="0.25">
      <c r="A25" t="s">
        <v>0</v>
      </c>
      <c r="B25" s="3" t="s">
        <v>20</v>
      </c>
    </row>
    <row r="26" spans="1:2" x14ac:dyDescent="0.25">
      <c r="A26" t="s">
        <v>0</v>
      </c>
      <c r="B26" t="s">
        <v>21</v>
      </c>
    </row>
    <row r="27" spans="1:2" x14ac:dyDescent="0.25">
      <c r="A27" t="s">
        <v>0</v>
      </c>
      <c r="B27" t="s">
        <v>22</v>
      </c>
    </row>
    <row r="28" spans="1:2" x14ac:dyDescent="0.25">
      <c r="A28" t="s">
        <v>0</v>
      </c>
      <c r="B28" t="s">
        <v>23</v>
      </c>
    </row>
    <row r="29" spans="1:2" x14ac:dyDescent="0.25">
      <c r="A29" t="s">
        <v>0</v>
      </c>
      <c r="B29" t="s">
        <v>24</v>
      </c>
    </row>
    <row r="30" spans="1:2" x14ac:dyDescent="0.25">
      <c r="A30" t="s">
        <v>0</v>
      </c>
      <c r="B30" t="s">
        <v>0</v>
      </c>
    </row>
    <row r="31" spans="1:2" x14ac:dyDescent="0.25">
      <c r="A31" t="s">
        <v>0</v>
      </c>
      <c r="B31" t="s">
        <v>25</v>
      </c>
    </row>
    <row r="32" spans="1:2" x14ac:dyDescent="0.25">
      <c r="A32" t="s">
        <v>0</v>
      </c>
      <c r="B3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24" customWidth="1"/>
    <col min="2" max="2" width="40" customWidth="1"/>
    <col min="3" max="3" width="12" customWidth="1"/>
    <col min="4" max="4" width="3" customWidth="1"/>
    <col min="5" max="5" width="26" customWidth="1"/>
    <col min="6" max="6" width="3" customWidth="1"/>
    <col min="7" max="7" width="28" customWidth="1"/>
  </cols>
  <sheetData>
    <row r="1" ht="26" customHeight="1" spans="1:7" s="4" customFormat="1" x14ac:dyDescent="0.25">
      <c r="A1" s="4" t="s">
        <v>27</v>
      </c>
      <c r="B1" s="4" t="s">
        <v>28</v>
      </c>
      <c r="C1" s="4" t="s">
        <v>29</v>
      </c>
      <c r="D1" s="4" t="s">
        <v>0</v>
      </c>
      <c r="E1" s="4" t="s">
        <v>30</v>
      </c>
      <c r="F1" s="4" t="s">
        <v>0</v>
      </c>
      <c r="G1" s="4" t="s">
        <v>31</v>
      </c>
    </row>
    <row r="2" spans="1:7" x14ac:dyDescent="0.25">
      <c r="A2" t="s">
        <v>32</v>
      </c>
      <c r="B2" t="s">
        <v>33</v>
      </c>
      <c r="C2" t="s">
        <v>34</v>
      </c>
      <c r="E2" t="s">
        <v>35</v>
      </c>
      <c r="G2" t="s">
        <v>36</v>
      </c>
    </row>
    <row r="3" spans="1:7" x14ac:dyDescent="0.25">
      <c r="A3" t="s">
        <v>32</v>
      </c>
      <c r="B3" t="s">
        <v>37</v>
      </c>
      <c r="C3" t="s">
        <v>34</v>
      </c>
      <c r="E3" t="s">
        <v>38</v>
      </c>
      <c r="G3" t="s">
        <v>39</v>
      </c>
    </row>
    <row r="4" spans="1:7" x14ac:dyDescent="0.25">
      <c r="A4" t="s">
        <v>32</v>
      </c>
      <c r="B4" t="s">
        <v>40</v>
      </c>
      <c r="C4" t="s">
        <v>34</v>
      </c>
      <c r="E4" t="s">
        <v>41</v>
      </c>
      <c r="G4" t="s">
        <v>42</v>
      </c>
    </row>
    <row r="5" spans="1:7" x14ac:dyDescent="0.25">
      <c r="A5" t="s">
        <v>43</v>
      </c>
      <c r="B5" t="s">
        <v>44</v>
      </c>
      <c r="C5" t="s">
        <v>34</v>
      </c>
      <c r="E5" t="s">
        <v>45</v>
      </c>
      <c r="G5" t="s">
        <v>46</v>
      </c>
    </row>
    <row r="6" spans="1:7" x14ac:dyDescent="0.25">
      <c r="A6" t="s">
        <v>43</v>
      </c>
      <c r="B6" t="s">
        <v>47</v>
      </c>
      <c r="C6" t="s">
        <v>34</v>
      </c>
      <c r="E6" s="5" t="s">
        <v>48</v>
      </c>
      <c r="G6" t="s">
        <v>49</v>
      </c>
    </row>
    <row r="7" spans="1:5" x14ac:dyDescent="0.25">
      <c r="A7" t="s">
        <v>50</v>
      </c>
      <c r="B7" t="s">
        <v>51</v>
      </c>
      <c r="C7" t="s">
        <v>52</v>
      </c>
      <c r="E7" s="5" t="s">
        <v>53</v>
      </c>
    </row>
    <row r="8" spans="1:5" x14ac:dyDescent="0.25">
      <c r="A8" t="s">
        <v>50</v>
      </c>
      <c r="B8" t="s">
        <v>54</v>
      </c>
      <c r="C8" t="s">
        <v>52</v>
      </c>
      <c r="E8" s="5" t="s">
        <v>55</v>
      </c>
    </row>
    <row r="9" spans="1:5" x14ac:dyDescent="0.25">
      <c r="A9" t="s">
        <v>50</v>
      </c>
      <c r="B9" t="s">
        <v>56</v>
      </c>
      <c r="C9" t="s">
        <v>52</v>
      </c>
      <c r="E9" s="5" t="s">
        <v>57</v>
      </c>
    </row>
    <row r="10" spans="1:3" x14ac:dyDescent="0.25">
      <c r="A10" t="s">
        <v>50</v>
      </c>
      <c r="B10" t="s">
        <v>58</v>
      </c>
      <c r="C10" t="s">
        <v>52</v>
      </c>
    </row>
    <row r="11" spans="1:3" x14ac:dyDescent="0.25">
      <c r="A11" t="s">
        <v>59</v>
      </c>
      <c r="B11" t="s">
        <v>60</v>
      </c>
      <c r="C11" t="s">
        <v>52</v>
      </c>
    </row>
    <row r="12" spans="1:3" x14ac:dyDescent="0.25">
      <c r="A12" t="s">
        <v>59</v>
      </c>
      <c r="B12" t="s">
        <v>61</v>
      </c>
      <c r="C12" t="s">
        <v>52</v>
      </c>
    </row>
    <row r="13" spans="1:3" x14ac:dyDescent="0.25">
      <c r="A13" t="s">
        <v>59</v>
      </c>
      <c r="B13" t="s">
        <v>62</v>
      </c>
      <c r="C13" t="s">
        <v>52</v>
      </c>
    </row>
    <row r="14" spans="1:3" x14ac:dyDescent="0.25">
      <c r="A14" t="s">
        <v>63</v>
      </c>
      <c r="B14" t="s">
        <v>64</v>
      </c>
      <c r="C14" t="s">
        <v>52</v>
      </c>
    </row>
    <row r="15" spans="1:3" x14ac:dyDescent="0.25">
      <c r="A15" t="s">
        <v>63</v>
      </c>
      <c r="B15" t="s">
        <v>65</v>
      </c>
      <c r="C15" t="s">
        <v>52</v>
      </c>
    </row>
    <row r="16" spans="1:3" x14ac:dyDescent="0.25">
      <c r="A16" t="s">
        <v>63</v>
      </c>
      <c r="B16" t="s">
        <v>66</v>
      </c>
      <c r="C16" t="s">
        <v>52</v>
      </c>
    </row>
    <row r="17" spans="1:3" x14ac:dyDescent="0.25">
      <c r="A17" t="s">
        <v>67</v>
      </c>
      <c r="B17" t="s">
        <v>68</v>
      </c>
      <c r="C17" t="s">
        <v>52</v>
      </c>
    </row>
    <row r="18" spans="1:3" x14ac:dyDescent="0.25">
      <c r="A18" t="s">
        <v>67</v>
      </c>
      <c r="B18" t="s">
        <v>69</v>
      </c>
      <c r="C18" t="s">
        <v>52</v>
      </c>
    </row>
    <row r="19" spans="1:3" x14ac:dyDescent="0.25">
      <c r="A19" t="s">
        <v>70</v>
      </c>
      <c r="B19" t="s">
        <v>71</v>
      </c>
      <c r="C19" t="s">
        <v>52</v>
      </c>
    </row>
    <row r="20" spans="1:3" x14ac:dyDescent="0.25">
      <c r="A20" t="s">
        <v>70</v>
      </c>
      <c r="B20" t="s">
        <v>72</v>
      </c>
      <c r="C20" t="s">
        <v>52</v>
      </c>
    </row>
    <row r="21" spans="1:3" x14ac:dyDescent="0.25">
      <c r="A21" t="s">
        <v>70</v>
      </c>
      <c r="B21" t="s">
        <v>73</v>
      </c>
      <c r="C21" t="s">
        <v>52</v>
      </c>
    </row>
    <row r="22" spans="1:3" x14ac:dyDescent="0.25">
      <c r="A22" t="s">
        <v>70</v>
      </c>
      <c r="B22" t="s">
        <v>74</v>
      </c>
      <c r="C22" t="s">
        <v>52</v>
      </c>
    </row>
    <row r="23" spans="1:3" x14ac:dyDescent="0.25">
      <c r="A23" t="s">
        <v>70</v>
      </c>
      <c r="B23" t="s">
        <v>75</v>
      </c>
      <c r="C23" t="s">
        <v>52</v>
      </c>
    </row>
    <row r="24" spans="1:3" x14ac:dyDescent="0.25">
      <c r="A24" t="s">
        <v>76</v>
      </c>
      <c r="B24" t="s">
        <v>77</v>
      </c>
      <c r="C24" t="s">
        <v>52</v>
      </c>
    </row>
    <row r="25" spans="1:3" x14ac:dyDescent="0.25">
      <c r="A25" t="s">
        <v>76</v>
      </c>
      <c r="B25" t="s">
        <v>78</v>
      </c>
      <c r="C25" t="s">
        <v>52</v>
      </c>
    </row>
    <row r="26" spans="1:3" x14ac:dyDescent="0.25">
      <c r="A26" t="s">
        <v>79</v>
      </c>
      <c r="B26" t="s">
        <v>80</v>
      </c>
      <c r="C26" t="s">
        <v>52</v>
      </c>
    </row>
    <row r="27" spans="1:3" x14ac:dyDescent="0.25">
      <c r="A27" t="s">
        <v>79</v>
      </c>
      <c r="B27" t="s">
        <v>81</v>
      </c>
      <c r="C27" t="s">
        <v>52</v>
      </c>
    </row>
    <row r="28" spans="1:3" x14ac:dyDescent="0.25">
      <c r="A28" t="s">
        <v>79</v>
      </c>
      <c r="B28" t="s">
        <v>82</v>
      </c>
      <c r="C28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2" width="12" customWidth="1"/>
    <col min="3" max="3" width="18" customWidth="1"/>
    <col min="4" max="4" width="40" customWidth="1"/>
    <col min="5" max="5" width="15" customWidth="1"/>
    <col min="6" max="6" width="26" customWidth="1"/>
    <col min="7" max="7" width="22" customWidth="1"/>
    <col min="8" max="8" width="36" customWidth="1"/>
  </cols>
  <sheetData>
    <row r="1" ht="26" customHeight="1" spans="1:8" s="4" customFormat="1" x14ac:dyDescent="0.25">
      <c r="A1" s="4" t="s">
        <v>83</v>
      </c>
      <c r="B1" s="4" t="s">
        <v>29</v>
      </c>
      <c r="C1" s="4" t="s">
        <v>84</v>
      </c>
      <c r="D1" s="4" t="s">
        <v>28</v>
      </c>
      <c r="E1" s="4" t="s">
        <v>85</v>
      </c>
      <c r="F1" s="4" t="s">
        <v>86</v>
      </c>
      <c r="G1" s="4" t="s">
        <v>87</v>
      </c>
      <c r="H1" s="4" t="s">
        <v>88</v>
      </c>
    </row>
    <row r="2" spans="1:8" x14ac:dyDescent="0.25">
      <c r="A2" s="6">
        <v>46034</v>
      </c>
      <c r="B2" t="s">
        <v>34</v>
      </c>
      <c r="C2" t="s">
        <v>35</v>
      </c>
      <c r="D2" t="s">
        <v>33</v>
      </c>
      <c r="E2" s="7">
        <v>750000</v>
      </c>
      <c r="F2" t="s">
        <v>36</v>
      </c>
      <c r="G2" t="s">
        <v>89</v>
      </c>
      <c r="H2" t="s">
        <v>90</v>
      </c>
    </row>
    <row r="3" spans="1:8" x14ac:dyDescent="0.25">
      <c r="A3" s="6">
        <v>46036</v>
      </c>
      <c r="B3" t="s">
        <v>34</v>
      </c>
      <c r="C3" t="s">
        <v>38</v>
      </c>
      <c r="D3" t="s">
        <v>37</v>
      </c>
      <c r="E3" s="7">
        <v>300000</v>
      </c>
      <c r="F3" t="s">
        <v>36</v>
      </c>
      <c r="G3" t="s">
        <v>91</v>
      </c>
      <c r="H3" t="s">
        <v>90</v>
      </c>
    </row>
    <row r="4" spans="1:8" x14ac:dyDescent="0.25">
      <c r="A4" s="6">
        <v>46027</v>
      </c>
      <c r="B4" t="s">
        <v>52</v>
      </c>
      <c r="C4" t="s">
        <v>35</v>
      </c>
      <c r="D4" t="s">
        <v>51</v>
      </c>
      <c r="E4" s="7">
        <v>240000</v>
      </c>
      <c r="F4" t="s">
        <v>36</v>
      </c>
      <c r="G4" t="s">
        <v>92</v>
      </c>
      <c r="H4" t="s">
        <v>93</v>
      </c>
    </row>
    <row r="5" spans="1:8" x14ac:dyDescent="0.25">
      <c r="A5" s="6">
        <v>46027</v>
      </c>
      <c r="B5" t="s">
        <v>52</v>
      </c>
      <c r="C5" t="s">
        <v>38</v>
      </c>
      <c r="D5" t="s">
        <v>51</v>
      </c>
      <c r="E5" s="7">
        <v>110000</v>
      </c>
      <c r="F5" t="s">
        <v>36</v>
      </c>
      <c r="G5" t="s">
        <v>92</v>
      </c>
      <c r="H5" t="s">
        <v>93</v>
      </c>
    </row>
    <row r="6" spans="1:8" x14ac:dyDescent="0.25">
      <c r="A6" s="6">
        <v>46032</v>
      </c>
      <c r="B6" t="s">
        <v>52</v>
      </c>
      <c r="C6" t="s">
        <v>45</v>
      </c>
      <c r="D6" t="s">
        <v>71</v>
      </c>
      <c r="E6" s="7">
        <v>60000</v>
      </c>
      <c r="F6" t="s">
        <v>36</v>
      </c>
      <c r="G6" t="s">
        <v>94</v>
      </c>
      <c r="H6" t="s">
        <v>90</v>
      </c>
    </row>
    <row r="7" spans="1:8" x14ac:dyDescent="0.25">
      <c r="A7" s="6">
        <v>46032</v>
      </c>
      <c r="B7" t="s">
        <v>52</v>
      </c>
      <c r="C7" t="s">
        <v>45</v>
      </c>
      <c r="D7" t="s">
        <v>62</v>
      </c>
      <c r="E7" s="7">
        <v>150000</v>
      </c>
      <c r="F7" t="s">
        <v>36</v>
      </c>
      <c r="G7" t="s">
        <v>92</v>
      </c>
      <c r="H7" t="s">
        <v>90</v>
      </c>
    </row>
    <row r="8" spans="1:8" x14ac:dyDescent="0.25">
      <c r="A8" s="6">
        <v>46037</v>
      </c>
      <c r="B8" t="s">
        <v>52</v>
      </c>
      <c r="C8" t="s">
        <v>45</v>
      </c>
      <c r="D8" t="s">
        <v>60</v>
      </c>
      <c r="E8" s="7">
        <v>90000</v>
      </c>
      <c r="F8" t="s">
        <v>36</v>
      </c>
      <c r="G8" t="s">
        <v>92</v>
      </c>
      <c r="H8" t="s">
        <v>90</v>
      </c>
    </row>
    <row r="9" spans="1:8" x14ac:dyDescent="0.25">
      <c r="A9" s="6">
        <v>46037</v>
      </c>
      <c r="B9" t="s">
        <v>52</v>
      </c>
      <c r="C9" t="s">
        <v>45</v>
      </c>
      <c r="D9" t="s">
        <v>64</v>
      </c>
      <c r="E9" s="7">
        <v>90000</v>
      </c>
      <c r="F9" t="s">
        <v>42</v>
      </c>
      <c r="G9" t="s">
        <v>95</v>
      </c>
      <c r="H9" t="s">
        <v>96</v>
      </c>
    </row>
    <row r="10" spans="1:8" x14ac:dyDescent="0.25">
      <c r="A10" s="6">
        <v>46040</v>
      </c>
      <c r="B10" t="s">
        <v>52</v>
      </c>
      <c r="C10" t="s">
        <v>45</v>
      </c>
      <c r="D10" t="s">
        <v>61</v>
      </c>
      <c r="E10" s="7">
        <v>110000</v>
      </c>
      <c r="F10" t="s">
        <v>36</v>
      </c>
      <c r="G10" t="s">
        <v>92</v>
      </c>
      <c r="H10" t="s">
        <v>97</v>
      </c>
    </row>
    <row r="11" spans="1:8" x14ac:dyDescent="0.25">
      <c r="A11" s="6">
        <v>46044</v>
      </c>
      <c r="B11" t="s">
        <v>52</v>
      </c>
      <c r="C11" t="s">
        <v>45</v>
      </c>
      <c r="D11" t="s">
        <v>73</v>
      </c>
      <c r="E11" s="7">
        <v>14000</v>
      </c>
      <c r="F11" t="s">
        <v>42</v>
      </c>
      <c r="G11" t="s">
        <v>98</v>
      </c>
      <c r="H11" t="s">
        <v>90</v>
      </c>
    </row>
    <row r="12" spans="1:8" x14ac:dyDescent="0.25">
      <c r="A12" s="6">
        <v>46047</v>
      </c>
      <c r="B12" t="s">
        <v>52</v>
      </c>
      <c r="C12" t="s">
        <v>45</v>
      </c>
      <c r="D12" t="s">
        <v>72</v>
      </c>
      <c r="E12" s="7">
        <v>35000</v>
      </c>
      <c r="F12" t="s">
        <v>36</v>
      </c>
      <c r="G12" t="s">
        <v>99</v>
      </c>
      <c r="H12" t="s">
        <v>90</v>
      </c>
    </row>
    <row r="13" spans="1:8" x14ac:dyDescent="0.25">
      <c r="A13" s="6">
        <v>46064</v>
      </c>
      <c r="B13" t="s">
        <v>34</v>
      </c>
      <c r="C13" t="s">
        <v>35</v>
      </c>
      <c r="D13" t="s">
        <v>33</v>
      </c>
      <c r="E13" s="7">
        <v>800000</v>
      </c>
      <c r="F13" t="s">
        <v>36</v>
      </c>
      <c r="G13" t="s">
        <v>89</v>
      </c>
      <c r="H13" t="s">
        <v>100</v>
      </c>
    </row>
    <row r="14" spans="1:8" x14ac:dyDescent="0.25">
      <c r="A14" s="6">
        <v>46066</v>
      </c>
      <c r="B14" t="s">
        <v>34</v>
      </c>
      <c r="C14" t="s">
        <v>38</v>
      </c>
      <c r="D14" t="s">
        <v>37</v>
      </c>
      <c r="E14" s="7">
        <v>300000</v>
      </c>
      <c r="F14" t="s">
        <v>36</v>
      </c>
      <c r="G14" t="s">
        <v>91</v>
      </c>
      <c r="H14" t="s">
        <v>100</v>
      </c>
    </row>
    <row r="15" spans="1:8" x14ac:dyDescent="0.25">
      <c r="A15" s="6">
        <v>46073</v>
      </c>
      <c r="B15" t="s">
        <v>34</v>
      </c>
      <c r="C15" t="s">
        <v>41</v>
      </c>
      <c r="D15" t="s">
        <v>40</v>
      </c>
      <c r="E15" s="7">
        <v>150000</v>
      </c>
      <c r="F15" t="s">
        <v>36</v>
      </c>
      <c r="G15" t="s">
        <v>101</v>
      </c>
      <c r="H15" t="s">
        <v>102</v>
      </c>
    </row>
    <row r="16" spans="1:8" x14ac:dyDescent="0.25">
      <c r="A16" s="6">
        <v>46058</v>
      </c>
      <c r="B16" t="s">
        <v>52</v>
      </c>
      <c r="C16" t="s">
        <v>35</v>
      </c>
      <c r="D16" t="s">
        <v>51</v>
      </c>
      <c r="E16" s="7">
        <v>250000</v>
      </c>
      <c r="F16" t="s">
        <v>36</v>
      </c>
      <c r="G16" t="s">
        <v>92</v>
      </c>
      <c r="H16" t="s">
        <v>103</v>
      </c>
    </row>
    <row r="17" spans="1:8" x14ac:dyDescent="0.25">
      <c r="A17" s="6">
        <v>46058</v>
      </c>
      <c r="B17" t="s">
        <v>52</v>
      </c>
      <c r="C17" t="s">
        <v>38</v>
      </c>
      <c r="D17" t="s">
        <v>51</v>
      </c>
      <c r="E17" s="7">
        <v>115000</v>
      </c>
      <c r="F17" t="s">
        <v>36</v>
      </c>
      <c r="G17" t="s">
        <v>92</v>
      </c>
      <c r="H17" t="s">
        <v>103</v>
      </c>
    </row>
    <row r="18" spans="1:8" x14ac:dyDescent="0.25">
      <c r="A18" s="6">
        <v>46059</v>
      </c>
      <c r="B18" t="s">
        <v>52</v>
      </c>
      <c r="C18" t="s">
        <v>41</v>
      </c>
      <c r="D18" t="s">
        <v>54</v>
      </c>
      <c r="E18" s="7">
        <v>70000</v>
      </c>
      <c r="F18" t="s">
        <v>36</v>
      </c>
      <c r="G18" t="s">
        <v>104</v>
      </c>
      <c r="H18" t="s">
        <v>105</v>
      </c>
    </row>
    <row r="19" spans="1:8" x14ac:dyDescent="0.25">
      <c r="A19" s="6">
        <v>46063</v>
      </c>
      <c r="B19" t="s">
        <v>52</v>
      </c>
      <c r="C19" t="s">
        <v>45</v>
      </c>
      <c r="D19" t="s">
        <v>71</v>
      </c>
      <c r="E19" s="7">
        <v>60000</v>
      </c>
      <c r="F19" t="s">
        <v>36</v>
      </c>
      <c r="G19" t="s">
        <v>94</v>
      </c>
      <c r="H19" t="s">
        <v>100</v>
      </c>
    </row>
    <row r="20" spans="1:8" x14ac:dyDescent="0.25">
      <c r="A20" s="6">
        <v>46063</v>
      </c>
      <c r="B20" t="s">
        <v>52</v>
      </c>
      <c r="C20" t="s">
        <v>45</v>
      </c>
      <c r="D20" t="s">
        <v>62</v>
      </c>
      <c r="E20" s="7">
        <v>150000</v>
      </c>
      <c r="F20" t="s">
        <v>36</v>
      </c>
      <c r="G20" t="s">
        <v>92</v>
      </c>
      <c r="H20" t="s">
        <v>100</v>
      </c>
    </row>
    <row r="21" spans="1:8" x14ac:dyDescent="0.25">
      <c r="A21" s="6">
        <v>46068</v>
      </c>
      <c r="B21" t="s">
        <v>52</v>
      </c>
      <c r="C21" t="s">
        <v>45</v>
      </c>
      <c r="D21" t="s">
        <v>60</v>
      </c>
      <c r="E21" s="7">
        <v>90000</v>
      </c>
      <c r="F21" t="s">
        <v>36</v>
      </c>
      <c r="G21" t="s">
        <v>92</v>
      </c>
      <c r="H21" t="s">
        <v>100</v>
      </c>
    </row>
    <row r="22" spans="1:8" x14ac:dyDescent="0.25">
      <c r="A22" s="6">
        <v>46068</v>
      </c>
      <c r="B22" t="s">
        <v>52</v>
      </c>
      <c r="C22" t="s">
        <v>45</v>
      </c>
      <c r="D22" t="s">
        <v>64</v>
      </c>
      <c r="E22" s="7">
        <v>140000</v>
      </c>
      <c r="F22" t="s">
        <v>42</v>
      </c>
      <c r="G22" t="s">
        <v>95</v>
      </c>
      <c r="H22" t="s">
        <v>100</v>
      </c>
    </row>
    <row r="23" spans="1:8" x14ac:dyDescent="0.25">
      <c r="A23" s="6">
        <v>46071</v>
      </c>
      <c r="B23" t="s">
        <v>52</v>
      </c>
      <c r="C23" t="s">
        <v>45</v>
      </c>
      <c r="D23" t="s">
        <v>61</v>
      </c>
      <c r="E23" s="7">
        <v>110000</v>
      </c>
      <c r="F23" t="s">
        <v>36</v>
      </c>
      <c r="G23" t="s">
        <v>92</v>
      </c>
      <c r="H23" t="s">
        <v>97</v>
      </c>
    </row>
    <row r="24" spans="1:8" x14ac:dyDescent="0.25">
      <c r="A24" s="6">
        <v>46073</v>
      </c>
      <c r="B24" t="s">
        <v>52</v>
      </c>
      <c r="C24" t="s">
        <v>45</v>
      </c>
      <c r="D24" t="s">
        <v>68</v>
      </c>
      <c r="E24" s="7">
        <v>42000</v>
      </c>
      <c r="F24" t="s">
        <v>36</v>
      </c>
      <c r="G24" t="s">
        <v>92</v>
      </c>
      <c r="H24" t="s">
        <v>106</v>
      </c>
    </row>
    <row r="25" spans="1:8" x14ac:dyDescent="0.25">
      <c r="A25" s="6">
        <v>46075</v>
      </c>
      <c r="B25" t="s">
        <v>52</v>
      </c>
      <c r="C25" t="s">
        <v>45</v>
      </c>
      <c r="D25" t="s">
        <v>73</v>
      </c>
      <c r="E25" s="7">
        <v>14000</v>
      </c>
      <c r="F25" t="s">
        <v>42</v>
      </c>
      <c r="G25" t="s">
        <v>98</v>
      </c>
      <c r="H25" t="s">
        <v>100</v>
      </c>
    </row>
    <row r="26" spans="1:8" x14ac:dyDescent="0.25">
      <c r="A26" s="6">
        <v>46078</v>
      </c>
      <c r="B26" t="s">
        <v>52</v>
      </c>
      <c r="C26" t="s">
        <v>45</v>
      </c>
      <c r="D26" t="s">
        <v>72</v>
      </c>
      <c r="E26" s="7">
        <v>35000</v>
      </c>
      <c r="F26" t="s">
        <v>36</v>
      </c>
      <c r="G26" t="s">
        <v>99</v>
      </c>
      <c r="H26" t="s">
        <v>100</v>
      </c>
    </row>
    <row r="27" spans="1:8" x14ac:dyDescent="0.25">
      <c r="A27" s="6">
        <v>46084</v>
      </c>
      <c r="B27" t="s">
        <v>34</v>
      </c>
      <c r="C27" t="s">
        <v>35</v>
      </c>
      <c r="D27" t="s">
        <v>33</v>
      </c>
      <c r="E27" s="7">
        <v>850000</v>
      </c>
      <c r="F27" t="s">
        <v>36</v>
      </c>
      <c r="G27" t="s">
        <v>89</v>
      </c>
      <c r="H27" t="s">
        <v>107</v>
      </c>
    </row>
    <row r="28" spans="1:8" x14ac:dyDescent="0.25">
      <c r="A28" s="6">
        <v>46085</v>
      </c>
      <c r="B28" t="s">
        <v>34</v>
      </c>
      <c r="C28" t="s">
        <v>38</v>
      </c>
      <c r="D28" t="s">
        <v>37</v>
      </c>
      <c r="E28" s="7">
        <v>320000</v>
      </c>
      <c r="F28" t="s">
        <v>36</v>
      </c>
      <c r="G28" t="s">
        <v>91</v>
      </c>
      <c r="H28" t="s">
        <v>108</v>
      </c>
    </row>
    <row r="29" spans="1:8" x14ac:dyDescent="0.25">
      <c r="A29" s="6">
        <v>46086</v>
      </c>
      <c r="B29" t="s">
        <v>34</v>
      </c>
      <c r="C29" t="s">
        <v>41</v>
      </c>
      <c r="D29" t="s">
        <v>40</v>
      </c>
      <c r="E29" s="7">
        <v>230000</v>
      </c>
      <c r="F29" t="s">
        <v>36</v>
      </c>
      <c r="G29" t="s">
        <v>101</v>
      </c>
      <c r="H29" t="s">
        <v>102</v>
      </c>
    </row>
    <row r="30" spans="1:8" x14ac:dyDescent="0.25">
      <c r="A30" s="6">
        <v>46086</v>
      </c>
      <c r="B30" t="s">
        <v>52</v>
      </c>
      <c r="C30" t="s">
        <v>35</v>
      </c>
      <c r="D30" t="s">
        <v>51</v>
      </c>
      <c r="E30" s="7">
        <v>260000</v>
      </c>
      <c r="F30" t="s">
        <v>36</v>
      </c>
      <c r="G30" t="s">
        <v>92</v>
      </c>
      <c r="H30" t="s">
        <v>109</v>
      </c>
    </row>
    <row r="31" spans="1:8" x14ac:dyDescent="0.25">
      <c r="A31" s="6">
        <v>46086</v>
      </c>
      <c r="B31" t="s">
        <v>52</v>
      </c>
      <c r="C31" t="s">
        <v>38</v>
      </c>
      <c r="D31" t="s">
        <v>51</v>
      </c>
      <c r="E31" s="7">
        <v>120000</v>
      </c>
      <c r="F31" t="s">
        <v>36</v>
      </c>
      <c r="G31" t="s">
        <v>92</v>
      </c>
      <c r="H31" t="s">
        <v>109</v>
      </c>
    </row>
    <row r="32" spans="1:8" x14ac:dyDescent="0.25">
      <c r="A32" s="6">
        <v>46087</v>
      </c>
      <c r="B32" t="s">
        <v>52</v>
      </c>
      <c r="C32" t="s">
        <v>41</v>
      </c>
      <c r="D32" t="s">
        <v>54</v>
      </c>
      <c r="E32" s="7">
        <v>90000</v>
      </c>
      <c r="F32" t="s">
        <v>36</v>
      </c>
      <c r="G32" t="s">
        <v>104</v>
      </c>
      <c r="H32" t="s">
        <v>105</v>
      </c>
    </row>
    <row r="33" spans="1:8" x14ac:dyDescent="0.25">
      <c r="A33" s="6">
        <v>46088</v>
      </c>
      <c r="B33" t="s">
        <v>52</v>
      </c>
      <c r="C33" t="s">
        <v>35</v>
      </c>
      <c r="D33" t="s">
        <v>56</v>
      </c>
      <c r="E33" s="7">
        <v>18000</v>
      </c>
      <c r="F33" t="s">
        <v>42</v>
      </c>
      <c r="G33" t="s">
        <v>110</v>
      </c>
      <c r="H33" t="s">
        <v>111</v>
      </c>
    </row>
    <row r="34" spans="1:8" x14ac:dyDescent="0.25">
      <c r="A34" s="6">
        <v>46091</v>
      </c>
      <c r="B34" t="s">
        <v>52</v>
      </c>
      <c r="C34" t="s">
        <v>45</v>
      </c>
      <c r="D34" t="s">
        <v>71</v>
      </c>
      <c r="E34" s="7">
        <v>60000</v>
      </c>
      <c r="F34" t="s">
        <v>36</v>
      </c>
      <c r="G34" t="s">
        <v>94</v>
      </c>
      <c r="H34" t="s">
        <v>107</v>
      </c>
    </row>
    <row r="35" spans="1:8" x14ac:dyDescent="0.25">
      <c r="A35" s="6">
        <v>46091</v>
      </c>
      <c r="B35" t="s">
        <v>52</v>
      </c>
      <c r="C35" t="s">
        <v>45</v>
      </c>
      <c r="D35" t="s">
        <v>62</v>
      </c>
      <c r="E35" s="7">
        <v>150000</v>
      </c>
      <c r="F35" t="s">
        <v>36</v>
      </c>
      <c r="G35" t="s">
        <v>92</v>
      </c>
      <c r="H35" t="s">
        <v>112</v>
      </c>
    </row>
    <row r="36" spans="1:8" x14ac:dyDescent="0.25">
      <c r="A36" s="6">
        <v>46093</v>
      </c>
      <c r="B36" t="s">
        <v>113</v>
      </c>
      <c r="C36" t="s">
        <v>45</v>
      </c>
      <c r="D36" t="s">
        <v>0</v>
      </c>
      <c r="E36" s="7">
        <v>150000</v>
      </c>
      <c r="F36" t="s">
        <v>46</v>
      </c>
      <c r="G36" t="s">
        <v>114</v>
      </c>
      <c r="H36" t="s">
        <v>115</v>
      </c>
    </row>
    <row r="37" spans="1:8" x14ac:dyDescent="0.25">
      <c r="A37" s="6">
        <v>46096</v>
      </c>
      <c r="B37" t="s">
        <v>52</v>
      </c>
      <c r="C37" t="s">
        <v>45</v>
      </c>
      <c r="D37" t="s">
        <v>60</v>
      </c>
      <c r="E37" s="7">
        <v>90000</v>
      </c>
      <c r="F37" t="s">
        <v>36</v>
      </c>
      <c r="G37" t="s">
        <v>92</v>
      </c>
      <c r="H37" t="s">
        <v>107</v>
      </c>
    </row>
    <row r="38" spans="1:8" x14ac:dyDescent="0.25">
      <c r="A38" s="6">
        <v>46096</v>
      </c>
      <c r="B38" t="s">
        <v>52</v>
      </c>
      <c r="C38" t="s">
        <v>45</v>
      </c>
      <c r="D38" t="s">
        <v>64</v>
      </c>
      <c r="E38" s="7">
        <v>160000</v>
      </c>
      <c r="F38" t="s">
        <v>42</v>
      </c>
      <c r="G38" t="s">
        <v>95</v>
      </c>
      <c r="H38" t="s">
        <v>107</v>
      </c>
    </row>
    <row r="39" spans="1:8" x14ac:dyDescent="0.25">
      <c r="A39" s="6">
        <v>46097</v>
      </c>
      <c r="B39" t="s">
        <v>52</v>
      </c>
      <c r="C39" t="s">
        <v>45</v>
      </c>
      <c r="D39" t="s">
        <v>66</v>
      </c>
      <c r="E39" s="7">
        <v>45000</v>
      </c>
      <c r="F39" t="s">
        <v>36</v>
      </c>
      <c r="G39" t="s">
        <v>116</v>
      </c>
      <c r="H39" t="s">
        <v>117</v>
      </c>
    </row>
    <row r="40" spans="1:8" x14ac:dyDescent="0.25">
      <c r="A40" s="6">
        <v>46099</v>
      </c>
      <c r="B40" t="s">
        <v>52</v>
      </c>
      <c r="C40" t="s">
        <v>45</v>
      </c>
      <c r="D40" t="s">
        <v>61</v>
      </c>
      <c r="E40" s="7">
        <v>110000</v>
      </c>
      <c r="F40" t="s">
        <v>36</v>
      </c>
      <c r="G40" t="s">
        <v>92</v>
      </c>
      <c r="H40" t="s">
        <v>97</v>
      </c>
    </row>
    <row r="41" spans="1:8" x14ac:dyDescent="0.25">
      <c r="A41" s="6">
        <v>46101</v>
      </c>
      <c r="B41" t="s">
        <v>52</v>
      </c>
      <c r="C41" t="s">
        <v>45</v>
      </c>
      <c r="D41" t="s">
        <v>68</v>
      </c>
      <c r="E41" s="7">
        <v>48000</v>
      </c>
      <c r="F41" t="s">
        <v>36</v>
      </c>
      <c r="G41" t="s">
        <v>92</v>
      </c>
      <c r="H41" t="s">
        <v>106</v>
      </c>
    </row>
    <row r="42" spans="1:8" x14ac:dyDescent="0.25">
      <c r="A42" s="6">
        <v>46102</v>
      </c>
      <c r="B42" t="s">
        <v>52</v>
      </c>
      <c r="C42" t="s">
        <v>45</v>
      </c>
      <c r="D42" t="s">
        <v>69</v>
      </c>
      <c r="E42" s="7">
        <v>12000</v>
      </c>
      <c r="F42" t="s">
        <v>42</v>
      </c>
      <c r="G42" t="s">
        <v>118</v>
      </c>
      <c r="H42" t="s">
        <v>107</v>
      </c>
    </row>
    <row r="43" spans="1:8" x14ac:dyDescent="0.25">
      <c r="A43" s="6">
        <v>46103</v>
      </c>
      <c r="B43" t="s">
        <v>52</v>
      </c>
      <c r="C43" t="s">
        <v>45</v>
      </c>
      <c r="D43" t="s">
        <v>73</v>
      </c>
      <c r="E43" s="7">
        <v>14000</v>
      </c>
      <c r="F43" t="s">
        <v>42</v>
      </c>
      <c r="G43" t="s">
        <v>98</v>
      </c>
      <c r="H43" t="s">
        <v>119</v>
      </c>
    </row>
    <row r="44" spans="1:8" x14ac:dyDescent="0.25">
      <c r="A44" s="6">
        <v>46106</v>
      </c>
      <c r="B44" t="s">
        <v>52</v>
      </c>
      <c r="C44" t="s">
        <v>45</v>
      </c>
      <c r="D44" t="s">
        <v>72</v>
      </c>
      <c r="E44" s="7">
        <v>35000</v>
      </c>
      <c r="F44" t="s">
        <v>36</v>
      </c>
      <c r="G44" t="s">
        <v>99</v>
      </c>
      <c r="H44" t="s">
        <v>107</v>
      </c>
    </row>
    <row r="45" spans="1:8" x14ac:dyDescent="0.25">
      <c r="A45" s="6">
        <v>46109</v>
      </c>
      <c r="B45" t="s">
        <v>52</v>
      </c>
      <c r="C45" t="s">
        <v>45</v>
      </c>
      <c r="D45" t="s">
        <v>77</v>
      </c>
      <c r="E45" s="7">
        <v>62000</v>
      </c>
      <c r="F45" t="s">
        <v>36</v>
      </c>
      <c r="G45" t="s">
        <v>120</v>
      </c>
      <c r="H45" t="s">
        <v>121</v>
      </c>
    </row>
    <row r="46" spans="1:8" x14ac:dyDescent="0.25">
      <c r="A46" s="6">
        <v>46112</v>
      </c>
      <c r="B46" t="s">
        <v>52</v>
      </c>
      <c r="C46" t="s">
        <v>45</v>
      </c>
      <c r="D46" t="s">
        <v>80</v>
      </c>
      <c r="E46" s="7">
        <v>150000</v>
      </c>
      <c r="F46" t="s">
        <v>36</v>
      </c>
      <c r="G46" t="s">
        <v>122</v>
      </c>
      <c r="H46" t="s">
        <v>123</v>
      </c>
    </row>
    <row r="47" spans="1:6" x14ac:dyDescent="0.25">
      <c r="A47" s="6"/>
      <c r="E47" s="7"/>
    </row>
    <row r="48" spans="1:6" x14ac:dyDescent="0.25">
      <c r="A48" s="6"/>
      <c r="E48" s="7"/>
    </row>
    <row r="49" spans="1:6" x14ac:dyDescent="0.25">
      <c r="A49" s="6"/>
      <c r="E49" s="7"/>
    </row>
    <row r="50" spans="1:6" x14ac:dyDescent="0.25">
      <c r="A50" s="6"/>
      <c r="E50" s="7"/>
    </row>
    <row r="51" spans="1:6" x14ac:dyDescent="0.25">
      <c r="A51" s="6"/>
      <c r="E51" s="7"/>
    </row>
    <row r="52" spans="1:6" x14ac:dyDescent="0.25">
      <c r="A52" s="6"/>
      <c r="E52" s="7"/>
    </row>
    <row r="53" spans="1:6" x14ac:dyDescent="0.25">
      <c r="A53" s="6"/>
      <c r="E53" s="7"/>
    </row>
    <row r="54" spans="1:6" x14ac:dyDescent="0.25">
      <c r="A54" s="6"/>
      <c r="E54" s="7"/>
    </row>
    <row r="55" spans="1:6" x14ac:dyDescent="0.25">
      <c r="A55" s="6"/>
      <c r="E55" s="7"/>
    </row>
    <row r="56" spans="1:6" x14ac:dyDescent="0.25">
      <c r="A56" s="6"/>
      <c r="E56" s="7"/>
    </row>
    <row r="57" spans="1:6" x14ac:dyDescent="0.25">
      <c r="A57" s="6"/>
      <c r="E57" s="7"/>
    </row>
    <row r="58" spans="1:6" x14ac:dyDescent="0.25">
      <c r="A58" s="6"/>
      <c r="E58" s="7"/>
    </row>
    <row r="59" spans="1:6" x14ac:dyDescent="0.25">
      <c r="A59" s="6"/>
      <c r="E59" s="7"/>
    </row>
    <row r="60" spans="1:6" x14ac:dyDescent="0.25">
      <c r="A60" s="6"/>
      <c r="E60" s="7"/>
    </row>
    <row r="61" spans="1:6" x14ac:dyDescent="0.25">
      <c r="A61" s="6"/>
      <c r="E61" s="7"/>
    </row>
    <row r="62" spans="1:6" x14ac:dyDescent="0.25">
      <c r="A62" s="6"/>
      <c r="E62" s="7"/>
    </row>
    <row r="63" spans="1:6" x14ac:dyDescent="0.25">
      <c r="A63" s="6"/>
      <c r="E63" s="7"/>
    </row>
    <row r="64" spans="1:6" x14ac:dyDescent="0.25">
      <c r="A64" s="6"/>
      <c r="E64" s="7"/>
    </row>
    <row r="65" spans="1:6" x14ac:dyDescent="0.25">
      <c r="A65" s="6"/>
      <c r="E65" s="7"/>
    </row>
    <row r="66" spans="1:6" x14ac:dyDescent="0.25">
      <c r="A66" s="6"/>
      <c r="E66" s="7"/>
    </row>
    <row r="67" spans="1:6" x14ac:dyDescent="0.25">
      <c r="A67" s="6"/>
      <c r="E67" s="7"/>
    </row>
    <row r="68" spans="1:6" x14ac:dyDescent="0.25">
      <c r="A68" s="6"/>
      <c r="E68" s="7"/>
    </row>
    <row r="69" spans="1:6" x14ac:dyDescent="0.25">
      <c r="A69" s="6"/>
      <c r="E69" s="7"/>
    </row>
    <row r="70" spans="1:6" x14ac:dyDescent="0.25">
      <c r="A70" s="6"/>
      <c r="E70" s="7"/>
    </row>
    <row r="71" spans="1:6" x14ac:dyDescent="0.25">
      <c r="A71" s="6"/>
      <c r="E71" s="7"/>
    </row>
    <row r="72" spans="1:6" x14ac:dyDescent="0.25">
      <c r="A72" s="6"/>
      <c r="E72" s="7"/>
    </row>
    <row r="73" spans="1:6" x14ac:dyDescent="0.25">
      <c r="A73" s="6"/>
      <c r="E73" s="7"/>
    </row>
    <row r="74" spans="1:6" x14ac:dyDescent="0.25">
      <c r="A74" s="6"/>
      <c r="E74" s="7"/>
    </row>
    <row r="75" spans="1:6" x14ac:dyDescent="0.25">
      <c r="A75" s="6"/>
      <c r="E75" s="7"/>
    </row>
    <row r="76" spans="1:6" x14ac:dyDescent="0.25">
      <c r="A76" s="6"/>
      <c r="E76" s="7"/>
    </row>
    <row r="77" spans="1:6" x14ac:dyDescent="0.25">
      <c r="A77" s="6"/>
      <c r="E77" s="7"/>
    </row>
    <row r="78" spans="1:6" x14ac:dyDescent="0.25">
      <c r="A78" s="6"/>
      <c r="E78" s="7"/>
    </row>
    <row r="79" spans="1:6" x14ac:dyDescent="0.25">
      <c r="A79" s="6"/>
      <c r="E79" s="7"/>
    </row>
    <row r="80" spans="1:6" x14ac:dyDescent="0.25">
      <c r="A80" s="6"/>
      <c r="E80" s="7"/>
    </row>
    <row r="81" spans="1:6" x14ac:dyDescent="0.25">
      <c r="A81" s="6"/>
      <c r="E81" s="7"/>
    </row>
    <row r="82" spans="1:6" x14ac:dyDescent="0.25">
      <c r="A82" s="6"/>
      <c r="E82" s="7"/>
    </row>
    <row r="83" spans="1:6" x14ac:dyDescent="0.25">
      <c r="A83" s="6"/>
      <c r="E83" s="7"/>
    </row>
    <row r="84" spans="1:6" x14ac:dyDescent="0.25">
      <c r="A84" s="6"/>
      <c r="E84" s="7"/>
    </row>
    <row r="85" spans="1:6" x14ac:dyDescent="0.25">
      <c r="A85" s="6"/>
      <c r="E85" s="7"/>
    </row>
    <row r="86" spans="1:6" x14ac:dyDescent="0.25">
      <c r="A86" s="6"/>
      <c r="E86" s="7"/>
    </row>
    <row r="87" spans="1:6" x14ac:dyDescent="0.25">
      <c r="A87" s="6"/>
      <c r="E87" s="7"/>
    </row>
    <row r="88" spans="1:6" x14ac:dyDescent="0.25">
      <c r="A88" s="6"/>
      <c r="E88" s="7"/>
    </row>
    <row r="89" spans="1:6" x14ac:dyDescent="0.25">
      <c r="A89" s="6"/>
      <c r="E89" s="7"/>
    </row>
    <row r="90" spans="1:6" x14ac:dyDescent="0.25">
      <c r="A90" s="6"/>
      <c r="E90" s="7"/>
    </row>
    <row r="91" spans="1:6" x14ac:dyDescent="0.25">
      <c r="A91" s="6"/>
      <c r="E91" s="7"/>
    </row>
    <row r="92" spans="1:6" x14ac:dyDescent="0.25">
      <c r="A92" s="6"/>
      <c r="E92" s="7"/>
    </row>
    <row r="93" spans="1:6" x14ac:dyDescent="0.25">
      <c r="A93" s="6"/>
      <c r="E93" s="7"/>
    </row>
    <row r="94" spans="1:6" x14ac:dyDescent="0.25">
      <c r="A94" s="6"/>
      <c r="E94" s="7"/>
    </row>
    <row r="95" spans="1:6" x14ac:dyDescent="0.25">
      <c r="A95" s="6"/>
      <c r="E95" s="7"/>
    </row>
    <row r="96" spans="1:6" x14ac:dyDescent="0.25">
      <c r="A96" s="6"/>
      <c r="E96" s="7"/>
    </row>
    <row r="97" spans="1:6" x14ac:dyDescent="0.25">
      <c r="A97" s="6"/>
      <c r="E97" s="7"/>
    </row>
    <row r="98" spans="1:6" x14ac:dyDescent="0.25">
      <c r="A98" s="6"/>
      <c r="E98" s="7"/>
    </row>
    <row r="99" spans="1:6" x14ac:dyDescent="0.25">
      <c r="A99" s="6"/>
      <c r="E99" s="7"/>
    </row>
    <row r="100" spans="1:6" x14ac:dyDescent="0.25">
      <c r="A100" s="6"/>
      <c r="E100" s="7"/>
    </row>
    <row r="101" spans="1:6" x14ac:dyDescent="0.25">
      <c r="A101" s="6"/>
      <c r="E101" s="7"/>
    </row>
    <row r="102" spans="1:6" x14ac:dyDescent="0.25">
      <c r="A102" s="6"/>
      <c r="E102" s="7"/>
    </row>
    <row r="103" spans="1:6" x14ac:dyDescent="0.25">
      <c r="A103" s="6"/>
      <c r="E103" s="7"/>
    </row>
    <row r="104" spans="1:6" x14ac:dyDescent="0.25">
      <c r="A104" s="6"/>
      <c r="E104" s="7"/>
    </row>
    <row r="105" spans="1:6" x14ac:dyDescent="0.25">
      <c r="A105" s="6"/>
      <c r="E105" s="7"/>
    </row>
    <row r="106" spans="1:6" x14ac:dyDescent="0.25">
      <c r="A106" s="6"/>
      <c r="E106" s="7"/>
    </row>
    <row r="107" spans="1:6" x14ac:dyDescent="0.25">
      <c r="A107" s="6"/>
      <c r="E107" s="7"/>
    </row>
    <row r="108" spans="1:6" x14ac:dyDescent="0.25">
      <c r="A108" s="6"/>
      <c r="E108" s="7"/>
    </row>
    <row r="109" spans="1:6" x14ac:dyDescent="0.25">
      <c r="A109" s="6"/>
      <c r="E109" s="7"/>
    </row>
    <row r="110" spans="1:6" x14ac:dyDescent="0.25">
      <c r="A110" s="6"/>
      <c r="E110" s="7"/>
    </row>
    <row r="111" spans="1:6" x14ac:dyDescent="0.25">
      <c r="A111" s="6"/>
      <c r="E111" s="7"/>
    </row>
    <row r="112" spans="1:6" x14ac:dyDescent="0.25">
      <c r="A112" s="6"/>
      <c r="E112" s="7"/>
    </row>
    <row r="113" spans="1:6" x14ac:dyDescent="0.25">
      <c r="A113" s="6"/>
      <c r="E113" s="7"/>
    </row>
    <row r="114" spans="1:6" x14ac:dyDescent="0.25">
      <c r="A114" s="6"/>
      <c r="E114" s="7"/>
    </row>
    <row r="115" spans="1:6" x14ac:dyDescent="0.25">
      <c r="A115" s="6"/>
      <c r="E115" s="7"/>
    </row>
    <row r="116" spans="1:6" x14ac:dyDescent="0.25">
      <c r="A116" s="6"/>
      <c r="E116" s="7"/>
    </row>
    <row r="117" spans="1:6" x14ac:dyDescent="0.25">
      <c r="A117" s="6"/>
      <c r="E117" s="7"/>
    </row>
    <row r="118" spans="1:6" x14ac:dyDescent="0.25">
      <c r="A118" s="6"/>
      <c r="E118" s="7"/>
    </row>
    <row r="119" spans="1:6" x14ac:dyDescent="0.25">
      <c r="A119" s="6"/>
      <c r="E119" s="7"/>
    </row>
    <row r="120" spans="1:6" x14ac:dyDescent="0.25">
      <c r="A120" s="6"/>
      <c r="E120" s="7"/>
    </row>
    <row r="121" spans="1:6" x14ac:dyDescent="0.25">
      <c r="A121" s="6"/>
      <c r="E121" s="7"/>
    </row>
    <row r="122" spans="1:6" x14ac:dyDescent="0.25">
      <c r="A122" s="6"/>
      <c r="E122" s="7"/>
    </row>
    <row r="123" spans="1:6" x14ac:dyDescent="0.25">
      <c r="A123" s="6"/>
      <c r="E123" s="7"/>
    </row>
    <row r="124" spans="1:6" x14ac:dyDescent="0.25">
      <c r="A124" s="6"/>
      <c r="E124" s="7"/>
    </row>
    <row r="125" spans="1:6" x14ac:dyDescent="0.25">
      <c r="A125" s="6"/>
      <c r="E125" s="7"/>
    </row>
    <row r="126" spans="1:6" x14ac:dyDescent="0.25">
      <c r="A126" s="6"/>
      <c r="E126" s="7"/>
    </row>
    <row r="127" spans="1:6" x14ac:dyDescent="0.25">
      <c r="A127" s="6"/>
      <c r="E127" s="7"/>
    </row>
    <row r="128" spans="1:6" x14ac:dyDescent="0.25">
      <c r="A128" s="6"/>
      <c r="E128" s="7"/>
    </row>
    <row r="129" spans="1:6" x14ac:dyDescent="0.25">
      <c r="A129" s="6"/>
      <c r="E129" s="7"/>
    </row>
    <row r="130" spans="1:6" x14ac:dyDescent="0.25">
      <c r="A130" s="6"/>
      <c r="E130" s="7"/>
    </row>
    <row r="131" spans="1:6" x14ac:dyDescent="0.25">
      <c r="A131" s="6"/>
      <c r="E131" s="7"/>
    </row>
    <row r="132" spans="1:6" x14ac:dyDescent="0.25">
      <c r="A132" s="6"/>
      <c r="E132" s="7"/>
    </row>
    <row r="133" spans="1:6" x14ac:dyDescent="0.25">
      <c r="A133" s="6"/>
      <c r="E133" s="7"/>
    </row>
    <row r="134" spans="1:6" x14ac:dyDescent="0.25">
      <c r="A134" s="6"/>
      <c r="E134" s="7"/>
    </row>
    <row r="135" spans="1:6" x14ac:dyDescent="0.25">
      <c r="A135" s="6"/>
      <c r="E135" s="7"/>
    </row>
    <row r="136" spans="1:6" x14ac:dyDescent="0.25">
      <c r="A136" s="6"/>
      <c r="E136" s="7"/>
    </row>
    <row r="137" spans="1:6" x14ac:dyDescent="0.25">
      <c r="A137" s="6"/>
      <c r="E137" s="7"/>
    </row>
    <row r="138" spans="1:6" x14ac:dyDescent="0.25">
      <c r="A138" s="6"/>
      <c r="E138" s="7"/>
    </row>
    <row r="139" spans="1:6" x14ac:dyDescent="0.25">
      <c r="A139" s="6"/>
      <c r="E139" s="7"/>
    </row>
    <row r="140" spans="1:6" x14ac:dyDescent="0.25">
      <c r="A140" s="6"/>
      <c r="E140" s="7"/>
    </row>
    <row r="141" spans="1:6" x14ac:dyDescent="0.25">
      <c r="A141" s="6"/>
      <c r="E141" s="7"/>
    </row>
    <row r="142" spans="1:6" x14ac:dyDescent="0.25">
      <c r="A142" s="6"/>
      <c r="E142" s="7"/>
    </row>
    <row r="143" spans="1:6" x14ac:dyDescent="0.25">
      <c r="A143" s="6"/>
      <c r="E143" s="7"/>
    </row>
    <row r="144" spans="1:6" x14ac:dyDescent="0.25">
      <c r="A144" s="6"/>
      <c r="E144" s="7"/>
    </row>
    <row r="145" spans="1:6" x14ac:dyDescent="0.25">
      <c r="A145" s="6"/>
      <c r="E145" s="7"/>
    </row>
    <row r="146" spans="1:6" x14ac:dyDescent="0.25">
      <c r="A146" s="6"/>
      <c r="E146" s="7"/>
    </row>
    <row r="147" spans="1:6" x14ac:dyDescent="0.25">
      <c r="A147" s="6"/>
      <c r="E147" s="7"/>
    </row>
    <row r="148" spans="1:6" x14ac:dyDescent="0.25">
      <c r="A148" s="6"/>
      <c r="E148" s="7"/>
    </row>
    <row r="149" spans="1:6" x14ac:dyDescent="0.25">
      <c r="A149" s="6"/>
      <c r="E149" s="7"/>
    </row>
    <row r="150" spans="1:6" x14ac:dyDescent="0.25">
      <c r="A150" s="6"/>
      <c r="E150" s="7"/>
    </row>
    <row r="151" spans="1:6" x14ac:dyDescent="0.25">
      <c r="A151" s="6"/>
      <c r="E151" s="7"/>
    </row>
    <row r="152" spans="1:6" x14ac:dyDescent="0.25">
      <c r="A152" s="6"/>
      <c r="E152" s="7"/>
    </row>
    <row r="153" spans="1:6" x14ac:dyDescent="0.25">
      <c r="A153" s="6"/>
      <c r="E153" s="7"/>
    </row>
    <row r="154" spans="1:6" x14ac:dyDescent="0.25">
      <c r="A154" s="6"/>
      <c r="E154" s="7"/>
    </row>
    <row r="155" spans="1:6" x14ac:dyDescent="0.25">
      <c r="A155" s="6"/>
      <c r="E155" s="7"/>
    </row>
    <row r="156" spans="1:6" x14ac:dyDescent="0.25">
      <c r="A156" s="6"/>
      <c r="E156" s="7"/>
    </row>
    <row r="157" spans="1:6" x14ac:dyDescent="0.25">
      <c r="A157" s="6"/>
      <c r="E157" s="7"/>
    </row>
    <row r="158" spans="1:6" x14ac:dyDescent="0.25">
      <c r="A158" s="6"/>
      <c r="E158" s="7"/>
    </row>
    <row r="159" spans="1:6" x14ac:dyDescent="0.25">
      <c r="A159" s="6"/>
      <c r="E159" s="7"/>
    </row>
    <row r="160" spans="1:6" x14ac:dyDescent="0.25">
      <c r="A160" s="6"/>
      <c r="E160" s="7"/>
    </row>
    <row r="161" spans="1:6" x14ac:dyDescent="0.25">
      <c r="A161" s="6"/>
      <c r="E161" s="7"/>
    </row>
    <row r="162" spans="1:6" x14ac:dyDescent="0.25">
      <c r="A162" s="6"/>
      <c r="E162" s="7"/>
    </row>
    <row r="163" spans="1:6" x14ac:dyDescent="0.25">
      <c r="A163" s="6"/>
      <c r="E163" s="7"/>
    </row>
    <row r="164" spans="1:6" x14ac:dyDescent="0.25">
      <c r="A164" s="6"/>
      <c r="E164" s="7"/>
    </row>
    <row r="165" spans="1:6" x14ac:dyDescent="0.25">
      <c r="A165" s="6"/>
      <c r="E165" s="7"/>
    </row>
    <row r="166" spans="1:6" x14ac:dyDescent="0.25">
      <c r="A166" s="6"/>
      <c r="E166" s="7"/>
    </row>
    <row r="167" spans="1:6" x14ac:dyDescent="0.25">
      <c r="A167" s="6"/>
      <c r="E167" s="7"/>
    </row>
    <row r="168" spans="1:6" x14ac:dyDescent="0.25">
      <c r="A168" s="6"/>
      <c r="E168" s="7"/>
    </row>
    <row r="169" spans="1:6" x14ac:dyDescent="0.25">
      <c r="A169" s="6"/>
      <c r="E169" s="7"/>
    </row>
    <row r="170" spans="1:6" x14ac:dyDescent="0.25">
      <c r="A170" s="6"/>
      <c r="E170" s="7"/>
    </row>
    <row r="171" spans="1:6" x14ac:dyDescent="0.25">
      <c r="A171" s="6"/>
      <c r="E171" s="7"/>
    </row>
    <row r="172" spans="1:6" x14ac:dyDescent="0.25">
      <c r="A172" s="6"/>
      <c r="E172" s="7"/>
    </row>
    <row r="173" spans="1:6" x14ac:dyDescent="0.25">
      <c r="A173" s="6"/>
      <c r="E173" s="7"/>
    </row>
    <row r="174" spans="1:6" x14ac:dyDescent="0.25">
      <c r="A174" s="6"/>
      <c r="E174" s="7"/>
    </row>
    <row r="175" spans="1:6" x14ac:dyDescent="0.25">
      <c r="A175" s="6"/>
      <c r="E175" s="7"/>
    </row>
    <row r="176" spans="1:6" x14ac:dyDescent="0.25">
      <c r="A176" s="6"/>
      <c r="E176" s="7"/>
    </row>
    <row r="177" spans="1:6" x14ac:dyDescent="0.25">
      <c r="A177" s="6"/>
      <c r="E177" s="7"/>
    </row>
    <row r="178" spans="1:6" x14ac:dyDescent="0.25">
      <c r="A178" s="6"/>
      <c r="E178" s="7"/>
    </row>
    <row r="179" spans="1:6" x14ac:dyDescent="0.25">
      <c r="A179" s="6"/>
      <c r="E179" s="7"/>
    </row>
    <row r="180" spans="1:6" x14ac:dyDescent="0.25">
      <c r="A180" s="6"/>
      <c r="E180" s="7"/>
    </row>
    <row r="181" spans="1:6" x14ac:dyDescent="0.25">
      <c r="A181" s="6"/>
      <c r="E181" s="7"/>
    </row>
    <row r="182" spans="1:6" x14ac:dyDescent="0.25">
      <c r="A182" s="6"/>
      <c r="E182" s="7"/>
    </row>
    <row r="183" spans="1:6" x14ac:dyDescent="0.25">
      <c r="A183" s="6"/>
      <c r="E183" s="7"/>
    </row>
    <row r="184" spans="1:6" x14ac:dyDescent="0.25">
      <c r="A184" s="6"/>
      <c r="E184" s="7"/>
    </row>
    <row r="185" spans="1:6" x14ac:dyDescent="0.25">
      <c r="A185" s="6"/>
      <c r="E185" s="7"/>
    </row>
    <row r="186" spans="1:6" x14ac:dyDescent="0.25">
      <c r="A186" s="6"/>
      <c r="E186" s="7"/>
    </row>
    <row r="187" spans="1:6" x14ac:dyDescent="0.25">
      <c r="A187" s="6"/>
      <c r="E187" s="7"/>
    </row>
    <row r="188" spans="1:6" x14ac:dyDescent="0.25">
      <c r="A188" s="6"/>
      <c r="E188" s="7"/>
    </row>
    <row r="189" spans="1:6" x14ac:dyDescent="0.25">
      <c r="A189" s="6"/>
      <c r="E189" s="7"/>
    </row>
    <row r="190" spans="1:6" x14ac:dyDescent="0.25">
      <c r="A190" s="6"/>
      <c r="E190" s="7"/>
    </row>
    <row r="191" spans="1:6" x14ac:dyDescent="0.25">
      <c r="A191" s="6"/>
      <c r="E191" s="7"/>
    </row>
    <row r="192" spans="1:6" x14ac:dyDescent="0.25">
      <c r="A192" s="6"/>
      <c r="E192" s="7"/>
    </row>
    <row r="193" spans="1:6" x14ac:dyDescent="0.25">
      <c r="A193" s="6"/>
      <c r="E193" s="7"/>
    </row>
    <row r="194" spans="1:6" x14ac:dyDescent="0.25">
      <c r="A194" s="6"/>
      <c r="E194" s="7"/>
    </row>
    <row r="195" spans="1:6" x14ac:dyDescent="0.25">
      <c r="A195" s="6"/>
      <c r="E195" s="7"/>
    </row>
    <row r="196" spans="1:6" x14ac:dyDescent="0.25">
      <c r="A196" s="6"/>
      <c r="E196" s="7"/>
    </row>
    <row r="197" spans="1:6" x14ac:dyDescent="0.25">
      <c r="A197" s="6"/>
      <c r="E197" s="7"/>
    </row>
    <row r="198" spans="1:6" x14ac:dyDescent="0.25">
      <c r="A198" s="6"/>
      <c r="E198" s="7"/>
    </row>
    <row r="199" spans="1:6" x14ac:dyDescent="0.25">
      <c r="A199" s="6"/>
      <c r="E199" s="7"/>
    </row>
    <row r="200" spans="1:6" x14ac:dyDescent="0.25">
      <c r="A200" s="6"/>
      <c r="E200" s="7"/>
    </row>
    <row r="201" spans="1:6" x14ac:dyDescent="0.25">
      <c r="A201" s="6"/>
      <c r="E201" s="7"/>
    </row>
    <row r="202" spans="1:6" x14ac:dyDescent="0.25">
      <c r="A202" s="6"/>
      <c r="E202" s="7"/>
    </row>
    <row r="203" spans="1:6" x14ac:dyDescent="0.25">
      <c r="A203" s="6"/>
      <c r="E203" s="7"/>
    </row>
    <row r="204" spans="1:6" x14ac:dyDescent="0.25">
      <c r="A204" s="6"/>
      <c r="E204" s="7"/>
    </row>
    <row r="205" spans="1:6" x14ac:dyDescent="0.25">
      <c r="A205" s="6"/>
      <c r="E205" s="7"/>
    </row>
    <row r="206" spans="1:6" x14ac:dyDescent="0.25">
      <c r="A206" s="6"/>
      <c r="E206" s="7"/>
    </row>
    <row r="207" spans="1:6" x14ac:dyDescent="0.25">
      <c r="A207" s="6"/>
      <c r="E207" s="7"/>
    </row>
    <row r="208" spans="1:6" x14ac:dyDescent="0.25">
      <c r="A208" s="6"/>
      <c r="E208" s="7"/>
    </row>
    <row r="209" spans="1:6" x14ac:dyDescent="0.25">
      <c r="A209" s="6"/>
      <c r="E209" s="7"/>
    </row>
    <row r="210" spans="1:6" x14ac:dyDescent="0.25">
      <c r="A210" s="6"/>
      <c r="E210" s="7"/>
    </row>
    <row r="211" spans="1:6" x14ac:dyDescent="0.25">
      <c r="A211" s="6"/>
      <c r="E211" s="7"/>
    </row>
    <row r="212" spans="1:6" x14ac:dyDescent="0.25">
      <c r="A212" s="6"/>
      <c r="E212" s="7"/>
    </row>
    <row r="213" spans="1:6" x14ac:dyDescent="0.25">
      <c r="A213" s="6"/>
      <c r="E213" s="7"/>
    </row>
    <row r="214" spans="1:6" x14ac:dyDescent="0.25">
      <c r="A214" s="6"/>
      <c r="E214" s="7"/>
    </row>
    <row r="215" spans="1:6" x14ac:dyDescent="0.25">
      <c r="A215" s="6"/>
      <c r="E215" s="7"/>
    </row>
    <row r="216" spans="1:6" x14ac:dyDescent="0.25">
      <c r="A216" s="6"/>
      <c r="E216" s="7"/>
    </row>
    <row r="217" spans="1:6" x14ac:dyDescent="0.25">
      <c r="A217" s="6"/>
      <c r="E217" s="7"/>
    </row>
    <row r="218" spans="1:6" x14ac:dyDescent="0.25">
      <c r="A218" s="6"/>
      <c r="E218" s="7"/>
    </row>
    <row r="219" spans="1:6" x14ac:dyDescent="0.25">
      <c r="A219" s="6"/>
      <c r="E219" s="7"/>
    </row>
    <row r="220" spans="1:6" x14ac:dyDescent="0.25">
      <c r="A220" s="6"/>
      <c r="E220" s="7"/>
    </row>
    <row r="221" spans="1:6" x14ac:dyDescent="0.25">
      <c r="A221" s="6"/>
      <c r="E221" s="7"/>
    </row>
    <row r="222" spans="1:6" x14ac:dyDescent="0.25">
      <c r="A222" s="6"/>
      <c r="E222" s="7"/>
    </row>
    <row r="223" spans="1:6" x14ac:dyDescent="0.25">
      <c r="A223" s="6"/>
      <c r="E223" s="7"/>
    </row>
    <row r="224" spans="1:6" x14ac:dyDescent="0.25">
      <c r="A224" s="6"/>
      <c r="E224" s="7"/>
    </row>
    <row r="225" spans="1:6" x14ac:dyDescent="0.25">
      <c r="A225" s="6"/>
      <c r="E225" s="7"/>
    </row>
    <row r="226" spans="1:6" x14ac:dyDescent="0.25">
      <c r="A226" s="6"/>
      <c r="E226" s="7"/>
    </row>
    <row r="227" spans="1:6" x14ac:dyDescent="0.25">
      <c r="A227" s="6"/>
      <c r="E227" s="7"/>
    </row>
    <row r="228" spans="1:6" x14ac:dyDescent="0.25">
      <c r="A228" s="6"/>
      <c r="E228" s="7"/>
    </row>
    <row r="229" spans="1:6" x14ac:dyDescent="0.25">
      <c r="A229" s="6"/>
      <c r="E229" s="7"/>
    </row>
    <row r="230" spans="1:6" x14ac:dyDescent="0.25">
      <c r="A230" s="6"/>
      <c r="E230" s="7"/>
    </row>
    <row r="231" spans="1:6" x14ac:dyDescent="0.25">
      <c r="A231" s="6"/>
      <c r="E231" s="7"/>
    </row>
    <row r="232" spans="1:6" x14ac:dyDescent="0.25">
      <c r="A232" s="6"/>
      <c r="E232" s="7"/>
    </row>
    <row r="233" spans="1:6" x14ac:dyDescent="0.25">
      <c r="A233" s="6"/>
      <c r="E233" s="7"/>
    </row>
    <row r="234" spans="1:6" x14ac:dyDescent="0.25">
      <c r="A234" s="6"/>
      <c r="E234" s="7"/>
    </row>
    <row r="235" spans="1:6" x14ac:dyDescent="0.25">
      <c r="A235" s="6"/>
      <c r="E235" s="7"/>
    </row>
    <row r="236" spans="1:6" x14ac:dyDescent="0.25">
      <c r="A236" s="6"/>
      <c r="E236" s="7"/>
    </row>
    <row r="237" spans="1:6" x14ac:dyDescent="0.25">
      <c r="A237" s="6"/>
      <c r="E237" s="7"/>
    </row>
    <row r="238" spans="1:6" x14ac:dyDescent="0.25">
      <c r="A238" s="6"/>
      <c r="E238" s="7"/>
    </row>
    <row r="239" spans="1:6" x14ac:dyDescent="0.25">
      <c r="A239" s="6"/>
      <c r="E239" s="7"/>
    </row>
    <row r="240" spans="1:6" x14ac:dyDescent="0.25">
      <c r="A240" s="6"/>
      <c r="E240" s="7"/>
    </row>
    <row r="241" spans="1:6" x14ac:dyDescent="0.25">
      <c r="A241" s="6"/>
      <c r="E241" s="7"/>
    </row>
    <row r="242" spans="1:6" x14ac:dyDescent="0.25">
      <c r="A242" s="6"/>
      <c r="E242" s="7"/>
    </row>
    <row r="243" spans="1:6" x14ac:dyDescent="0.25">
      <c r="A243" s="6"/>
      <c r="E243" s="7"/>
    </row>
    <row r="244" spans="1:6" x14ac:dyDescent="0.25">
      <c r="A244" s="6"/>
      <c r="E244" s="7"/>
    </row>
    <row r="245" spans="1:6" x14ac:dyDescent="0.25">
      <c r="A245" s="6"/>
      <c r="E245" s="7"/>
    </row>
    <row r="246" spans="1:6" x14ac:dyDescent="0.25">
      <c r="A246" s="6"/>
      <c r="E246" s="7"/>
    </row>
    <row r="247" spans="1:6" x14ac:dyDescent="0.25">
      <c r="A247" s="6"/>
      <c r="E247" s="7"/>
    </row>
    <row r="248" spans="1:6" x14ac:dyDescent="0.25">
      <c r="A248" s="6"/>
      <c r="E248" s="7"/>
    </row>
    <row r="249" spans="1:6" x14ac:dyDescent="0.25">
      <c r="A249" s="6"/>
      <c r="E249" s="7"/>
    </row>
    <row r="250" spans="1:6" x14ac:dyDescent="0.25">
      <c r="A250" s="6"/>
      <c r="E250" s="7"/>
    </row>
    <row r="251" spans="1:6" x14ac:dyDescent="0.25">
      <c r="A251" s="6"/>
      <c r="E251" s="7"/>
    </row>
    <row r="252" spans="1:6" x14ac:dyDescent="0.25">
      <c r="A252" s="6"/>
      <c r="E252" s="7"/>
    </row>
    <row r="253" spans="1:6" x14ac:dyDescent="0.25">
      <c r="A253" s="6"/>
      <c r="E253" s="7"/>
    </row>
    <row r="254" spans="1:6" x14ac:dyDescent="0.25">
      <c r="A254" s="6"/>
      <c r="E254" s="7"/>
    </row>
    <row r="255" spans="1:6" x14ac:dyDescent="0.25">
      <c r="A255" s="6"/>
      <c r="E255" s="7"/>
    </row>
    <row r="256" spans="1:6" x14ac:dyDescent="0.25">
      <c r="A256" s="6"/>
      <c r="E256" s="7"/>
    </row>
    <row r="257" spans="1:6" x14ac:dyDescent="0.25">
      <c r="A257" s="6"/>
      <c r="E257" s="7"/>
    </row>
    <row r="258" spans="1:6" x14ac:dyDescent="0.25">
      <c r="A258" s="6"/>
      <c r="E258" s="7"/>
    </row>
    <row r="259" spans="1:6" x14ac:dyDescent="0.25">
      <c r="A259" s="6"/>
      <c r="E259" s="7"/>
    </row>
    <row r="260" spans="1:6" x14ac:dyDescent="0.25">
      <c r="A260" s="6"/>
      <c r="E260" s="7"/>
    </row>
    <row r="261" spans="1:6" x14ac:dyDescent="0.25">
      <c r="A261" s="6"/>
      <c r="E261" s="7"/>
    </row>
    <row r="262" spans="1:6" x14ac:dyDescent="0.25">
      <c r="A262" s="6"/>
      <c r="E262" s="7"/>
    </row>
    <row r="263" spans="1:6" x14ac:dyDescent="0.25">
      <c r="A263" s="6"/>
      <c r="E263" s="7"/>
    </row>
    <row r="264" spans="1:6" x14ac:dyDescent="0.25">
      <c r="A264" s="6"/>
      <c r="E264" s="7"/>
    </row>
    <row r="265" spans="1:6" x14ac:dyDescent="0.25">
      <c r="A265" s="6"/>
      <c r="E265" s="7"/>
    </row>
    <row r="266" spans="1:6" x14ac:dyDescent="0.25">
      <c r="A266" s="6"/>
      <c r="E266" s="7"/>
    </row>
    <row r="267" spans="1:6" x14ac:dyDescent="0.25">
      <c r="A267" s="6"/>
      <c r="E267" s="7"/>
    </row>
    <row r="268" spans="1:6" x14ac:dyDescent="0.25">
      <c r="A268" s="6"/>
      <c r="E268" s="7"/>
    </row>
    <row r="269" spans="1:6" x14ac:dyDescent="0.25">
      <c r="A269" s="6"/>
      <c r="E269" s="7"/>
    </row>
    <row r="270" spans="1:6" x14ac:dyDescent="0.25">
      <c r="A270" s="6"/>
      <c r="E270" s="7"/>
    </row>
    <row r="271" spans="1:6" x14ac:dyDescent="0.25">
      <c r="A271" s="6"/>
      <c r="E271" s="7"/>
    </row>
    <row r="272" spans="1:6" x14ac:dyDescent="0.25">
      <c r="A272" s="6"/>
      <c r="E272" s="7"/>
    </row>
    <row r="273" spans="1:6" x14ac:dyDescent="0.25">
      <c r="A273" s="6"/>
      <c r="E273" s="7"/>
    </row>
    <row r="274" spans="1:6" x14ac:dyDescent="0.25">
      <c r="A274" s="6"/>
      <c r="E274" s="7"/>
    </row>
    <row r="275" spans="1:6" x14ac:dyDescent="0.25">
      <c r="A275" s="6"/>
      <c r="E275" s="7"/>
    </row>
    <row r="276" spans="1:6" x14ac:dyDescent="0.25">
      <c r="A276" s="6"/>
      <c r="E276" s="7"/>
    </row>
    <row r="277" spans="1:6" x14ac:dyDescent="0.25">
      <c r="A277" s="6"/>
      <c r="E277" s="7"/>
    </row>
    <row r="278" spans="1:6" x14ac:dyDescent="0.25">
      <c r="A278" s="6"/>
      <c r="E278" s="7"/>
    </row>
    <row r="279" spans="1:6" x14ac:dyDescent="0.25">
      <c r="A279" s="6"/>
      <c r="E279" s="7"/>
    </row>
    <row r="280" spans="1:6" x14ac:dyDescent="0.25">
      <c r="A280" s="6"/>
      <c r="E280" s="7"/>
    </row>
    <row r="281" spans="1:6" x14ac:dyDescent="0.25">
      <c r="A281" s="6"/>
      <c r="E281" s="7"/>
    </row>
    <row r="282" spans="1:6" x14ac:dyDescent="0.25">
      <c r="A282" s="6"/>
      <c r="E282" s="7"/>
    </row>
    <row r="283" spans="1:6" x14ac:dyDescent="0.25">
      <c r="A283" s="6"/>
      <c r="E283" s="7"/>
    </row>
    <row r="284" spans="1:6" x14ac:dyDescent="0.25">
      <c r="A284" s="6"/>
      <c r="E284" s="7"/>
    </row>
    <row r="285" spans="1:6" x14ac:dyDescent="0.25">
      <c r="A285" s="6"/>
      <c r="E285" s="7"/>
    </row>
    <row r="286" spans="1:6" x14ac:dyDescent="0.25">
      <c r="A286" s="6"/>
      <c r="E286" s="7"/>
    </row>
    <row r="287" spans="1:6" x14ac:dyDescent="0.25">
      <c r="A287" s="6"/>
      <c r="E287" s="7"/>
    </row>
    <row r="288" spans="1:6" x14ac:dyDescent="0.25">
      <c r="A288" s="6"/>
      <c r="E288" s="7"/>
    </row>
    <row r="289" spans="1:6" x14ac:dyDescent="0.25">
      <c r="A289" s="6"/>
      <c r="E289" s="7"/>
    </row>
    <row r="290" spans="1:6" x14ac:dyDescent="0.25">
      <c r="A290" s="6"/>
      <c r="E290" s="7"/>
    </row>
    <row r="291" spans="1:6" x14ac:dyDescent="0.25">
      <c r="A291" s="6"/>
      <c r="E291" s="7"/>
    </row>
    <row r="292" spans="1:6" x14ac:dyDescent="0.25">
      <c r="A292" s="6"/>
      <c r="E292" s="7"/>
    </row>
    <row r="293" spans="1:6" x14ac:dyDescent="0.25">
      <c r="A293" s="6"/>
      <c r="E293" s="7"/>
    </row>
    <row r="294" spans="1:6" x14ac:dyDescent="0.25">
      <c r="A294" s="6"/>
      <c r="E294" s="7"/>
    </row>
    <row r="295" spans="1:6" x14ac:dyDescent="0.25">
      <c r="A295" s="6"/>
      <c r="E295" s="7"/>
    </row>
    <row r="296" spans="1:6" x14ac:dyDescent="0.25">
      <c r="A296" s="6"/>
      <c r="E296" s="7"/>
    </row>
    <row r="297" spans="1:6" x14ac:dyDescent="0.25">
      <c r="A297" s="6"/>
      <c r="E297" s="7"/>
    </row>
    <row r="298" spans="1:6" x14ac:dyDescent="0.25">
      <c r="A298" s="6"/>
      <c r="E298" s="7"/>
    </row>
    <row r="299" spans="1:6" x14ac:dyDescent="0.25">
      <c r="A299" s="6"/>
      <c r="E299" s="7"/>
    </row>
    <row r="300" spans="1:6" x14ac:dyDescent="0.25">
      <c r="A300" s="6"/>
      <c r="E300" s="7"/>
    </row>
    <row r="301" spans="1:6" x14ac:dyDescent="0.25">
      <c r="A301" s="6"/>
      <c r="E301" s="7"/>
    </row>
    <row r="302" spans="1:6" x14ac:dyDescent="0.25">
      <c r="A302" s="6"/>
      <c r="E302" s="7"/>
    </row>
    <row r="303" spans="1:6" x14ac:dyDescent="0.25">
      <c r="A303" s="6"/>
      <c r="E303" s="7"/>
    </row>
    <row r="304" spans="1:6" x14ac:dyDescent="0.25">
      <c r="A304" s="6"/>
      <c r="E304" s="7"/>
    </row>
    <row r="305" spans="1:6" x14ac:dyDescent="0.25">
      <c r="A305" s="6"/>
      <c r="E305" s="7"/>
    </row>
    <row r="306" spans="1:6" x14ac:dyDescent="0.25">
      <c r="A306" s="6"/>
      <c r="E306" s="7"/>
    </row>
    <row r="307" spans="1:6" x14ac:dyDescent="0.25">
      <c r="A307" s="6"/>
      <c r="E307" s="7"/>
    </row>
    <row r="308" spans="1:6" x14ac:dyDescent="0.25">
      <c r="A308" s="6"/>
      <c r="E308" s="7"/>
    </row>
    <row r="309" spans="1:6" x14ac:dyDescent="0.25">
      <c r="A309" s="6"/>
      <c r="E309" s="7"/>
    </row>
    <row r="310" spans="1:6" x14ac:dyDescent="0.25">
      <c r="A310" s="6"/>
      <c r="E310" s="7"/>
    </row>
    <row r="311" spans="1:6" x14ac:dyDescent="0.25">
      <c r="A311" s="6"/>
      <c r="E311" s="7"/>
    </row>
    <row r="312" spans="1:6" x14ac:dyDescent="0.25">
      <c r="A312" s="6"/>
      <c r="E312" s="7"/>
    </row>
    <row r="313" spans="1:6" x14ac:dyDescent="0.25">
      <c r="A313" s="6"/>
      <c r="E313" s="7"/>
    </row>
    <row r="314" spans="1:6" x14ac:dyDescent="0.25">
      <c r="A314" s="6"/>
      <c r="E314" s="7"/>
    </row>
    <row r="315" spans="1:6" x14ac:dyDescent="0.25">
      <c r="A315" s="6"/>
      <c r="E315" s="7"/>
    </row>
    <row r="316" spans="1:6" x14ac:dyDescent="0.25">
      <c r="A316" s="6"/>
      <c r="E316" s="7"/>
    </row>
    <row r="317" spans="1:6" x14ac:dyDescent="0.25">
      <c r="A317" s="6"/>
      <c r="E317" s="7"/>
    </row>
    <row r="318" spans="1:6" x14ac:dyDescent="0.25">
      <c r="A318" s="6"/>
      <c r="E318" s="7"/>
    </row>
    <row r="319" spans="1:6" x14ac:dyDescent="0.25">
      <c r="A319" s="6"/>
      <c r="E319" s="7"/>
    </row>
    <row r="320" spans="1:6" x14ac:dyDescent="0.25">
      <c r="A320" s="6"/>
      <c r="E320" s="7"/>
    </row>
    <row r="321" spans="1:6" x14ac:dyDescent="0.25">
      <c r="A321" s="6"/>
      <c r="E321" s="7"/>
    </row>
    <row r="322" spans="1:6" x14ac:dyDescent="0.25">
      <c r="A322" s="6"/>
      <c r="E322" s="7"/>
    </row>
    <row r="323" spans="1:6" x14ac:dyDescent="0.25">
      <c r="A323" s="6"/>
      <c r="E323" s="7"/>
    </row>
    <row r="324" spans="1:6" x14ac:dyDescent="0.25">
      <c r="A324" s="6"/>
      <c r="E324" s="7"/>
    </row>
    <row r="325" spans="1:6" x14ac:dyDescent="0.25">
      <c r="A325" s="6"/>
      <c r="E325" s="7"/>
    </row>
    <row r="326" spans="1:6" x14ac:dyDescent="0.25">
      <c r="A326" s="6"/>
      <c r="E326" s="7"/>
    </row>
    <row r="327" spans="1:6" x14ac:dyDescent="0.25">
      <c r="A327" s="6"/>
      <c r="E327" s="7"/>
    </row>
    <row r="328" spans="1:6" x14ac:dyDescent="0.25">
      <c r="A328" s="6"/>
      <c r="E328" s="7"/>
    </row>
    <row r="329" spans="1:6" x14ac:dyDescent="0.25">
      <c r="A329" s="6"/>
      <c r="E329" s="7"/>
    </row>
    <row r="330" spans="1:6" x14ac:dyDescent="0.25">
      <c r="A330" s="6"/>
      <c r="E330" s="7"/>
    </row>
    <row r="331" spans="1:6" x14ac:dyDescent="0.25">
      <c r="A331" s="6"/>
      <c r="E331" s="7"/>
    </row>
    <row r="332" spans="1:6" x14ac:dyDescent="0.25">
      <c r="A332" s="6"/>
      <c r="E332" s="7"/>
    </row>
    <row r="333" spans="1:6" x14ac:dyDescent="0.25">
      <c r="A333" s="6"/>
      <c r="E333" s="7"/>
    </row>
    <row r="334" spans="1:6" x14ac:dyDescent="0.25">
      <c r="A334" s="6"/>
      <c r="E334" s="7"/>
    </row>
    <row r="335" spans="1:6" x14ac:dyDescent="0.25">
      <c r="A335" s="6"/>
      <c r="E335" s="7"/>
    </row>
    <row r="336" spans="1:6" x14ac:dyDescent="0.25">
      <c r="A336" s="6"/>
      <c r="E336" s="7"/>
    </row>
    <row r="337" spans="1:6" x14ac:dyDescent="0.25">
      <c r="A337" s="6"/>
      <c r="E337" s="7"/>
    </row>
    <row r="338" spans="1:6" x14ac:dyDescent="0.25">
      <c r="A338" s="6"/>
      <c r="E338" s="7"/>
    </row>
    <row r="339" spans="1:6" x14ac:dyDescent="0.25">
      <c r="A339" s="6"/>
      <c r="E339" s="7"/>
    </row>
    <row r="340" spans="1:6" x14ac:dyDescent="0.25">
      <c r="A340" s="6"/>
      <c r="E340" s="7"/>
    </row>
    <row r="341" spans="1:6" x14ac:dyDescent="0.25">
      <c r="A341" s="6"/>
      <c r="E341" s="7"/>
    </row>
    <row r="342" spans="1:6" x14ac:dyDescent="0.25">
      <c r="A342" s="6"/>
      <c r="E342" s="7"/>
    </row>
    <row r="343" spans="1:6" x14ac:dyDescent="0.25">
      <c r="A343" s="6"/>
      <c r="E343" s="7"/>
    </row>
    <row r="344" spans="1:6" x14ac:dyDescent="0.25">
      <c r="A344" s="6"/>
      <c r="E344" s="7"/>
    </row>
    <row r="345" spans="1:6" x14ac:dyDescent="0.25">
      <c r="A345" s="6"/>
      <c r="E345" s="7"/>
    </row>
    <row r="346" spans="1:6" x14ac:dyDescent="0.25">
      <c r="A346" s="6"/>
      <c r="E346" s="7"/>
    </row>
    <row r="347" spans="1:6" x14ac:dyDescent="0.25">
      <c r="A347" s="6"/>
      <c r="E347" s="7"/>
    </row>
    <row r="348" spans="1:6" x14ac:dyDescent="0.25">
      <c r="A348" s="6"/>
      <c r="E348" s="7"/>
    </row>
    <row r="349" spans="1:6" x14ac:dyDescent="0.25">
      <c r="A349" s="6"/>
      <c r="E349" s="7"/>
    </row>
    <row r="350" spans="1:6" x14ac:dyDescent="0.25">
      <c r="A350" s="6"/>
      <c r="E350" s="7"/>
    </row>
    <row r="351" spans="1:6" x14ac:dyDescent="0.25">
      <c r="A351" s="6"/>
      <c r="E351" s="7"/>
    </row>
    <row r="352" spans="1:6" x14ac:dyDescent="0.25">
      <c r="A352" s="6"/>
      <c r="E352" s="7"/>
    </row>
    <row r="353" spans="1:6" x14ac:dyDescent="0.25">
      <c r="A353" s="6"/>
      <c r="E353" s="7"/>
    </row>
    <row r="354" spans="1:6" x14ac:dyDescent="0.25">
      <c r="A354" s="6"/>
      <c r="E354" s="7"/>
    </row>
    <row r="355" spans="1:6" x14ac:dyDescent="0.25">
      <c r="A355" s="6"/>
      <c r="E355" s="7"/>
    </row>
    <row r="356" spans="1:6" x14ac:dyDescent="0.25">
      <c r="A356" s="6"/>
      <c r="E356" s="7"/>
    </row>
    <row r="357" spans="1:6" x14ac:dyDescent="0.25">
      <c r="A357" s="6"/>
      <c r="E357" s="7"/>
    </row>
    <row r="358" spans="1:6" x14ac:dyDescent="0.25">
      <c r="A358" s="6"/>
      <c r="E358" s="7"/>
    </row>
    <row r="359" spans="1:6" x14ac:dyDescent="0.25">
      <c r="A359" s="6"/>
      <c r="E359" s="7"/>
    </row>
    <row r="360" spans="1:6" x14ac:dyDescent="0.25">
      <c r="A360" s="6"/>
      <c r="E360" s="7"/>
    </row>
    <row r="361" spans="1:6" x14ac:dyDescent="0.25">
      <c r="A361" s="6"/>
      <c r="E361" s="7"/>
    </row>
    <row r="362" spans="1:6" x14ac:dyDescent="0.25">
      <c r="A362" s="6"/>
      <c r="E362" s="7"/>
    </row>
    <row r="363" spans="1:6" x14ac:dyDescent="0.25">
      <c r="A363" s="6"/>
      <c r="E363" s="7"/>
    </row>
    <row r="364" spans="1:6" x14ac:dyDescent="0.25">
      <c r="A364" s="6"/>
      <c r="E364" s="7"/>
    </row>
    <row r="365" spans="1:6" x14ac:dyDescent="0.25">
      <c r="A365" s="6"/>
      <c r="E365" s="7"/>
    </row>
    <row r="366" spans="1:6" x14ac:dyDescent="0.25">
      <c r="A366" s="6"/>
      <c r="E366" s="7"/>
    </row>
    <row r="367" spans="1:6" x14ac:dyDescent="0.25">
      <c r="A367" s="6"/>
      <c r="E367" s="7"/>
    </row>
    <row r="368" spans="1:6" x14ac:dyDescent="0.25">
      <c r="A368" s="6"/>
      <c r="E368" s="7"/>
    </row>
    <row r="369" spans="1:6" x14ac:dyDescent="0.25">
      <c r="A369" s="6"/>
      <c r="E369" s="7"/>
    </row>
    <row r="370" spans="1:6" x14ac:dyDescent="0.25">
      <c r="A370" s="6"/>
      <c r="E370" s="7"/>
    </row>
    <row r="371" spans="1:6" x14ac:dyDescent="0.25">
      <c r="A371" s="6"/>
      <c r="E371" s="7"/>
    </row>
    <row r="372" spans="1:6" x14ac:dyDescent="0.25">
      <c r="A372" s="6"/>
      <c r="E372" s="7"/>
    </row>
    <row r="373" spans="1:6" x14ac:dyDescent="0.25">
      <c r="A373" s="6"/>
      <c r="E373" s="7"/>
    </row>
    <row r="374" spans="1:6" x14ac:dyDescent="0.25">
      <c r="A374" s="6"/>
      <c r="E374" s="7"/>
    </row>
    <row r="375" spans="1:6" x14ac:dyDescent="0.25">
      <c r="A375" s="6"/>
      <c r="E375" s="7"/>
    </row>
    <row r="376" spans="1:6" x14ac:dyDescent="0.25">
      <c r="A376" s="6"/>
      <c r="E376" s="7"/>
    </row>
    <row r="377" spans="1:6" x14ac:dyDescent="0.25">
      <c r="A377" s="6"/>
      <c r="E377" s="7"/>
    </row>
    <row r="378" spans="1:6" x14ac:dyDescent="0.25">
      <c r="A378" s="6"/>
      <c r="E378" s="7"/>
    </row>
    <row r="379" spans="1:6" x14ac:dyDescent="0.25">
      <c r="A379" s="6"/>
      <c r="E379" s="7"/>
    </row>
    <row r="380" spans="1:6" x14ac:dyDescent="0.25">
      <c r="A380" s="6"/>
      <c r="E380" s="7"/>
    </row>
    <row r="381" spans="1:6" x14ac:dyDescent="0.25">
      <c r="A381" s="6"/>
      <c r="E381" s="7"/>
    </row>
    <row r="382" spans="1:6" x14ac:dyDescent="0.25">
      <c r="A382" s="6"/>
      <c r="E382" s="7"/>
    </row>
    <row r="383" spans="1:6" x14ac:dyDescent="0.25">
      <c r="A383" s="6"/>
      <c r="E383" s="7"/>
    </row>
    <row r="384" spans="1:6" x14ac:dyDescent="0.25">
      <c r="A384" s="6"/>
      <c r="E384" s="7"/>
    </row>
    <row r="385" spans="1:6" x14ac:dyDescent="0.25">
      <c r="A385" s="6"/>
      <c r="E385" s="7"/>
    </row>
    <row r="386" spans="1:6" x14ac:dyDescent="0.25">
      <c r="A386" s="6"/>
      <c r="E386" s="7"/>
    </row>
    <row r="387" spans="1:6" x14ac:dyDescent="0.25">
      <c r="A387" s="6"/>
      <c r="E387" s="7"/>
    </row>
    <row r="388" spans="1:6" x14ac:dyDescent="0.25">
      <c r="A388" s="6"/>
      <c r="E388" s="7"/>
    </row>
    <row r="389" spans="1:6" x14ac:dyDescent="0.25">
      <c r="A389" s="6"/>
      <c r="E389" s="7"/>
    </row>
    <row r="390" spans="1:6" x14ac:dyDescent="0.25">
      <c r="A390" s="6"/>
      <c r="E390" s="7"/>
    </row>
    <row r="391" spans="1:6" x14ac:dyDescent="0.25">
      <c r="A391" s="6"/>
      <c r="E391" s="7"/>
    </row>
    <row r="392" spans="1:6" x14ac:dyDescent="0.25">
      <c r="A392" s="6"/>
      <c r="E392" s="7"/>
    </row>
    <row r="393" spans="1:6" x14ac:dyDescent="0.25">
      <c r="A393" s="6"/>
      <c r="E393" s="7"/>
    </row>
    <row r="394" spans="1:6" x14ac:dyDescent="0.25">
      <c r="A394" s="6"/>
      <c r="E394" s="7"/>
    </row>
    <row r="395" spans="1:6" x14ac:dyDescent="0.25">
      <c r="A395" s="6"/>
      <c r="E395" s="7"/>
    </row>
    <row r="396" spans="1:6" x14ac:dyDescent="0.25">
      <c r="A396" s="6"/>
      <c r="E396" s="7"/>
    </row>
    <row r="397" spans="1:6" x14ac:dyDescent="0.25">
      <c r="A397" s="6"/>
      <c r="E397" s="7"/>
    </row>
    <row r="398" spans="1:6" x14ac:dyDescent="0.25">
      <c r="A398" s="6"/>
      <c r="E398" s="7"/>
    </row>
    <row r="399" spans="1:6" x14ac:dyDescent="0.25">
      <c r="A399" s="6"/>
      <c r="E399" s="7"/>
    </row>
    <row r="400" spans="1:6" x14ac:dyDescent="0.25">
      <c r="A400" s="6"/>
      <c r="E400" s="7"/>
    </row>
    <row r="401" spans="1:6" x14ac:dyDescent="0.25">
      <c r="A401" s="6"/>
      <c r="E401" s="7"/>
    </row>
    <row r="402" spans="1:6" x14ac:dyDescent="0.25">
      <c r="A402" s="6"/>
      <c r="E402" s="7"/>
    </row>
    <row r="403" spans="1:6" x14ac:dyDescent="0.25">
      <c r="A403" s="6"/>
      <c r="E403" s="7"/>
    </row>
    <row r="404" spans="1:6" x14ac:dyDescent="0.25">
      <c r="A404" s="6"/>
      <c r="E404" s="7"/>
    </row>
    <row r="405" spans="1:6" x14ac:dyDescent="0.25">
      <c r="A405" s="6"/>
      <c r="E405" s="7"/>
    </row>
    <row r="406" spans="1:6" x14ac:dyDescent="0.25">
      <c r="A406" s="6"/>
      <c r="E406" s="7"/>
    </row>
    <row r="407" spans="1:6" x14ac:dyDescent="0.25">
      <c r="A407" s="6"/>
      <c r="E407" s="7"/>
    </row>
    <row r="408" spans="1:6" x14ac:dyDescent="0.25">
      <c r="A408" s="6"/>
      <c r="E408" s="7"/>
    </row>
    <row r="409" spans="1:6" x14ac:dyDescent="0.25">
      <c r="A409" s="6"/>
      <c r="E409" s="7"/>
    </row>
    <row r="410" spans="1:6" x14ac:dyDescent="0.25">
      <c r="A410" s="6"/>
      <c r="E410" s="7"/>
    </row>
    <row r="411" spans="1:6" x14ac:dyDescent="0.25">
      <c r="A411" s="6"/>
      <c r="E411" s="7"/>
    </row>
    <row r="412" spans="1:6" x14ac:dyDescent="0.25">
      <c r="A412" s="6"/>
      <c r="E412" s="7"/>
    </row>
    <row r="413" spans="1:6" x14ac:dyDescent="0.25">
      <c r="A413" s="6"/>
      <c r="E413" s="7"/>
    </row>
    <row r="414" spans="1:6" x14ac:dyDescent="0.25">
      <c r="A414" s="6"/>
      <c r="E414" s="7"/>
    </row>
    <row r="415" spans="1:6" x14ac:dyDescent="0.25">
      <c r="A415" s="6"/>
      <c r="E415" s="7"/>
    </row>
    <row r="416" spans="1:6" x14ac:dyDescent="0.25">
      <c r="A416" s="6"/>
      <c r="E416" s="7"/>
    </row>
    <row r="417" spans="1:6" x14ac:dyDescent="0.25">
      <c r="A417" s="6"/>
      <c r="E417" s="7"/>
    </row>
    <row r="418" spans="1:6" x14ac:dyDescent="0.25">
      <c r="A418" s="6"/>
      <c r="E418" s="7"/>
    </row>
    <row r="419" spans="1:6" x14ac:dyDescent="0.25">
      <c r="A419" s="6"/>
      <c r="E419" s="7"/>
    </row>
    <row r="420" spans="1:6" x14ac:dyDescent="0.25">
      <c r="A420" s="6"/>
      <c r="E420" s="7"/>
    </row>
    <row r="421" spans="1:6" x14ac:dyDescent="0.25">
      <c r="A421" s="6"/>
      <c r="E421" s="7"/>
    </row>
    <row r="422" spans="1:6" x14ac:dyDescent="0.25">
      <c r="A422" s="6"/>
      <c r="E422" s="7"/>
    </row>
    <row r="423" spans="1:6" x14ac:dyDescent="0.25">
      <c r="A423" s="6"/>
      <c r="E423" s="7"/>
    </row>
    <row r="424" spans="1:6" x14ac:dyDescent="0.25">
      <c r="A424" s="6"/>
      <c r="E424" s="7"/>
    </row>
    <row r="425" spans="1:6" x14ac:dyDescent="0.25">
      <c r="A425" s="6"/>
      <c r="E425" s="7"/>
    </row>
    <row r="426" spans="1:6" x14ac:dyDescent="0.25">
      <c r="A426" s="6"/>
      <c r="E426" s="7"/>
    </row>
    <row r="427" spans="1:6" x14ac:dyDescent="0.25">
      <c r="A427" s="6"/>
      <c r="E427" s="7"/>
    </row>
    <row r="428" spans="1:6" x14ac:dyDescent="0.25">
      <c r="A428" s="6"/>
      <c r="E428" s="7"/>
    </row>
    <row r="429" spans="1:6" x14ac:dyDescent="0.25">
      <c r="A429" s="6"/>
      <c r="E429" s="7"/>
    </row>
    <row r="430" spans="1:6" x14ac:dyDescent="0.25">
      <c r="A430" s="6"/>
      <c r="E430" s="7"/>
    </row>
    <row r="431" spans="1:6" x14ac:dyDescent="0.25">
      <c r="A431" s="6"/>
      <c r="E431" s="7"/>
    </row>
    <row r="432" spans="1:6" x14ac:dyDescent="0.25">
      <c r="A432" s="6"/>
      <c r="E432" s="7"/>
    </row>
    <row r="433" spans="1:6" x14ac:dyDescent="0.25">
      <c r="A433" s="6"/>
      <c r="E433" s="7"/>
    </row>
    <row r="434" spans="1:6" x14ac:dyDescent="0.25">
      <c r="A434" s="6"/>
      <c r="E434" s="7"/>
    </row>
    <row r="435" spans="1:6" x14ac:dyDescent="0.25">
      <c r="A435" s="6"/>
      <c r="E435" s="7"/>
    </row>
    <row r="436" spans="1:6" x14ac:dyDescent="0.25">
      <c r="A436" s="6"/>
      <c r="E436" s="7"/>
    </row>
    <row r="437" spans="1:6" x14ac:dyDescent="0.25">
      <c r="A437" s="6"/>
      <c r="E437" s="7"/>
    </row>
    <row r="438" spans="1:6" x14ac:dyDescent="0.25">
      <c r="A438" s="6"/>
      <c r="E438" s="7"/>
    </row>
    <row r="439" spans="1:6" x14ac:dyDescent="0.25">
      <c r="A439" s="6"/>
      <c r="E439" s="7"/>
    </row>
    <row r="440" spans="1:6" x14ac:dyDescent="0.25">
      <c r="A440" s="6"/>
      <c r="E440" s="7"/>
    </row>
    <row r="441" spans="1:6" x14ac:dyDescent="0.25">
      <c r="A441" s="6"/>
      <c r="E441" s="7"/>
    </row>
    <row r="442" spans="1:6" x14ac:dyDescent="0.25">
      <c r="A442" s="6"/>
      <c r="E442" s="7"/>
    </row>
    <row r="443" spans="1:6" x14ac:dyDescent="0.25">
      <c r="A443" s="6"/>
      <c r="E443" s="7"/>
    </row>
    <row r="444" spans="1:6" x14ac:dyDescent="0.25">
      <c r="A444" s="6"/>
      <c r="E444" s="7"/>
    </row>
    <row r="445" spans="1:6" x14ac:dyDescent="0.25">
      <c r="A445" s="6"/>
      <c r="E445" s="7"/>
    </row>
    <row r="446" spans="1:6" x14ac:dyDescent="0.25">
      <c r="A446" s="6"/>
      <c r="E446" s="7"/>
    </row>
    <row r="447" spans="1:6" x14ac:dyDescent="0.25">
      <c r="A447" s="6"/>
      <c r="E447" s="7"/>
    </row>
    <row r="448" spans="1:6" x14ac:dyDescent="0.25">
      <c r="A448" s="6"/>
      <c r="E448" s="7"/>
    </row>
    <row r="449" spans="1:6" x14ac:dyDescent="0.25">
      <c r="A449" s="6"/>
      <c r="E449" s="7"/>
    </row>
    <row r="450" spans="1:6" x14ac:dyDescent="0.25">
      <c r="A450" s="6"/>
      <c r="E450" s="7"/>
    </row>
    <row r="451" spans="1:6" x14ac:dyDescent="0.25">
      <c r="A451" s="6"/>
      <c r="E451" s="7"/>
    </row>
    <row r="452" spans="1:6" x14ac:dyDescent="0.25">
      <c r="A452" s="6"/>
      <c r="E452" s="7"/>
    </row>
    <row r="453" spans="1:6" x14ac:dyDescent="0.25">
      <c r="A453" s="6"/>
      <c r="E453" s="7"/>
    </row>
    <row r="454" spans="1:6" x14ac:dyDescent="0.25">
      <c r="A454" s="6"/>
      <c r="E454" s="7"/>
    </row>
    <row r="455" spans="1:6" x14ac:dyDescent="0.25">
      <c r="A455" s="6"/>
      <c r="E455" s="7"/>
    </row>
    <row r="456" spans="1:6" x14ac:dyDescent="0.25">
      <c r="A456" s="6"/>
      <c r="E456" s="7"/>
    </row>
    <row r="457" spans="1:6" x14ac:dyDescent="0.25">
      <c r="A457" s="6"/>
      <c r="E457" s="7"/>
    </row>
    <row r="458" spans="1:6" x14ac:dyDescent="0.25">
      <c r="A458" s="6"/>
      <c r="E458" s="7"/>
    </row>
    <row r="459" spans="1:6" x14ac:dyDescent="0.25">
      <c r="A459" s="6"/>
      <c r="E459" s="7"/>
    </row>
    <row r="460" spans="1:6" x14ac:dyDescent="0.25">
      <c r="A460" s="6"/>
      <c r="E460" s="7"/>
    </row>
    <row r="461" spans="1:6" x14ac:dyDescent="0.25">
      <c r="A461" s="6"/>
      <c r="E461" s="7"/>
    </row>
    <row r="462" spans="1:6" x14ac:dyDescent="0.25">
      <c r="A462" s="6"/>
      <c r="E462" s="7"/>
    </row>
    <row r="463" spans="1:6" x14ac:dyDescent="0.25">
      <c r="A463" s="6"/>
      <c r="E463" s="7"/>
    </row>
    <row r="464" spans="1:6" x14ac:dyDescent="0.25">
      <c r="A464" s="6"/>
      <c r="E464" s="7"/>
    </row>
    <row r="465" spans="1:6" x14ac:dyDescent="0.25">
      <c r="A465" s="6"/>
      <c r="E465" s="7"/>
    </row>
    <row r="466" spans="1:6" x14ac:dyDescent="0.25">
      <c r="A466" s="6"/>
      <c r="E466" s="7"/>
    </row>
    <row r="467" spans="1:6" x14ac:dyDescent="0.25">
      <c r="A467" s="6"/>
      <c r="E467" s="7"/>
    </row>
    <row r="468" spans="1:6" x14ac:dyDescent="0.25">
      <c r="A468" s="6"/>
      <c r="E468" s="7"/>
    </row>
    <row r="469" spans="1:6" x14ac:dyDescent="0.25">
      <c r="A469" s="6"/>
      <c r="E469" s="7"/>
    </row>
    <row r="470" spans="1:6" x14ac:dyDescent="0.25">
      <c r="A470" s="6"/>
      <c r="E470" s="7"/>
    </row>
    <row r="471" spans="1:6" x14ac:dyDescent="0.25">
      <c r="A471" s="6"/>
      <c r="E471" s="7"/>
    </row>
    <row r="472" spans="1:6" x14ac:dyDescent="0.25">
      <c r="A472" s="6"/>
      <c r="E472" s="7"/>
    </row>
    <row r="473" spans="1:6" x14ac:dyDescent="0.25">
      <c r="A473" s="6"/>
      <c r="E473" s="7"/>
    </row>
    <row r="474" spans="1:6" x14ac:dyDescent="0.25">
      <c r="A474" s="6"/>
      <c r="E474" s="7"/>
    </row>
    <row r="475" spans="1:6" x14ac:dyDescent="0.25">
      <c r="A475" s="6"/>
      <c r="E475" s="7"/>
    </row>
    <row r="476" spans="1:6" x14ac:dyDescent="0.25">
      <c r="A476" s="6"/>
      <c r="E476" s="7"/>
    </row>
    <row r="477" spans="1:6" x14ac:dyDescent="0.25">
      <c r="A477" s="6"/>
      <c r="E477" s="7"/>
    </row>
    <row r="478" spans="1:6" x14ac:dyDescent="0.25">
      <c r="A478" s="6"/>
      <c r="E478" s="7"/>
    </row>
    <row r="479" spans="1:6" x14ac:dyDescent="0.25">
      <c r="A479" s="6"/>
      <c r="E479" s="7"/>
    </row>
    <row r="480" spans="1:6" x14ac:dyDescent="0.25">
      <c r="A480" s="6"/>
      <c r="E480" s="7"/>
    </row>
    <row r="481" spans="1:6" x14ac:dyDescent="0.25">
      <c r="A481" s="6"/>
      <c r="E481" s="7"/>
    </row>
    <row r="482" spans="1:6" x14ac:dyDescent="0.25">
      <c r="A482" s="6"/>
      <c r="E482" s="7"/>
    </row>
    <row r="483" spans="1:6" x14ac:dyDescent="0.25">
      <c r="A483" s="6"/>
      <c r="E483" s="7"/>
    </row>
    <row r="484" spans="1:6" x14ac:dyDescent="0.25">
      <c r="A484" s="6"/>
      <c r="E484" s="7"/>
    </row>
    <row r="485" spans="1:6" x14ac:dyDescent="0.25">
      <c r="A485" s="6"/>
      <c r="E485" s="7"/>
    </row>
    <row r="486" spans="1:6" x14ac:dyDescent="0.25">
      <c r="A486" s="6"/>
      <c r="E486" s="7"/>
    </row>
    <row r="487" spans="1:6" x14ac:dyDescent="0.25">
      <c r="A487" s="6"/>
      <c r="E487" s="7"/>
    </row>
    <row r="488" spans="1:6" x14ac:dyDescent="0.25">
      <c r="A488" s="6"/>
      <c r="E488" s="7"/>
    </row>
    <row r="489" spans="1:6" x14ac:dyDescent="0.25">
      <c r="A489" s="6"/>
      <c r="E489" s="7"/>
    </row>
    <row r="490" spans="1:6" x14ac:dyDescent="0.25">
      <c r="A490" s="6"/>
      <c r="E490" s="7"/>
    </row>
    <row r="491" spans="1:6" x14ac:dyDescent="0.25">
      <c r="A491" s="6"/>
      <c r="E491" s="7"/>
    </row>
    <row r="492" spans="1:6" x14ac:dyDescent="0.25">
      <c r="A492" s="6"/>
      <c r="E492" s="7"/>
    </row>
    <row r="493" spans="1:6" x14ac:dyDescent="0.25">
      <c r="A493" s="6"/>
      <c r="E493" s="7"/>
    </row>
    <row r="494" spans="1:6" x14ac:dyDescent="0.25">
      <c r="A494" s="6"/>
      <c r="E494" s="7"/>
    </row>
    <row r="495" spans="1:6" x14ac:dyDescent="0.25">
      <c r="A495" s="6"/>
      <c r="E495" s="7"/>
    </row>
    <row r="496" spans="1:6" x14ac:dyDescent="0.25">
      <c r="A496" s="6"/>
      <c r="E496" s="7"/>
    </row>
    <row r="497" spans="1:6" x14ac:dyDescent="0.25">
      <c r="A497" s="6"/>
      <c r="E497" s="7"/>
    </row>
    <row r="498" spans="1:6" x14ac:dyDescent="0.25">
      <c r="A498" s="6"/>
      <c r="E498" s="7"/>
    </row>
    <row r="499" spans="1:6" x14ac:dyDescent="0.25">
      <c r="A499" s="6"/>
      <c r="E499" s="7"/>
    </row>
    <row r="500" spans="1:6" x14ac:dyDescent="0.25">
      <c r="A500" s="6"/>
      <c r="E500" s="7"/>
    </row>
  </sheetData>
  <autoFilter ref="A1:H1"/>
  <dataValidations count="8">
    <dataValidation type="list" allowBlank="1" sqref="B10:B500">
      <formula1>"Приход,Расход,Перевод"</formula1>
    </dataValidation>
    <dataValidation type="list" allowBlank="1" sqref="B2:B500">
      <formula1>"Приход,Расход,Перевод"</formula1>
    </dataValidation>
    <dataValidation type="list" allowBlank="1" sqref="C10:C500">
      <formula1>=Справочник!$E$2:$E$5</formula1>
    </dataValidation>
    <dataValidation type="list" allowBlank="1" sqref="C2:C500">
      <formula1>=Справочник!$E$2:$E$5</formula1>
    </dataValidation>
    <dataValidation type="list" allowBlank="1" sqref="D10:D500">
      <formula1>=Справочник!$B$2:$B$28</formula1>
    </dataValidation>
    <dataValidation type="list" allowBlank="1" sqref="D2:D500">
      <formula1>=Справочник!$B$2:$B$28</formula1>
    </dataValidation>
    <dataValidation type="list" allowBlank="1" sqref="F10:F500">
      <formula1>=Справочник!$G$2:$G$6</formula1>
    </dataValidation>
    <dataValidation type="list" allowBlank="1" sqref="F2:F500">
      <formula1>=Справочник!$G$2:$G$6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40" customWidth="1"/>
    <col min="2" max="13" width="13" customWidth="1"/>
    <col min="14" max="14" width="14" customWidth="1"/>
  </cols>
  <sheetData>
    <row r="1" ht="26" customHeight="1" spans="1:14" s="4" customFormat="1" x14ac:dyDescent="0.25">
      <c r="A1" s="4" t="s">
        <v>28</v>
      </c>
      <c r="B1" s="4" t="s">
        <v>124</v>
      </c>
      <c r="C1" s="4" t="s">
        <v>125</v>
      </c>
      <c r="D1" s="4" t="s">
        <v>126</v>
      </c>
      <c r="E1" s="4" t="s">
        <v>127</v>
      </c>
      <c r="F1" s="4" t="s">
        <v>128</v>
      </c>
      <c r="G1" s="4" t="s">
        <v>129</v>
      </c>
      <c r="H1" s="4" t="s">
        <v>130</v>
      </c>
      <c r="I1" s="4" t="s">
        <v>131</v>
      </c>
      <c r="J1" s="4" t="s">
        <v>132</v>
      </c>
      <c r="K1" s="4" t="s">
        <v>133</v>
      </c>
      <c r="L1" s="4" t="s">
        <v>134</v>
      </c>
      <c r="M1" s="4" t="s">
        <v>135</v>
      </c>
      <c r="N1" s="4" t="s">
        <v>136</v>
      </c>
    </row>
    <row r="2" spans="1:14" s="3" customFormat="1" x14ac:dyDescent="0.25">
      <c r="A2" s="8" t="s">
        <v>137</v>
      </c>
      <c r="B2" s="9">
        <f>SUMIFS(Операции!$E:$E,Операции!$B:$B,"Приход",Операции!$D:$D,"Выручка: основной продукт",Операции!$A:$A,"&gt;="&amp;DATE(2026,1,1),Операции!$A:$A,"&lt;="&amp;EOMONTH(DATE(2026,1,1),0))+SUMIFS(Операции!$E:$E,Операции!$B:$B,"Приход",Операции!$D:$D,"Выручка: второй продукт",Операции!$A:$A,"&gt;="&amp;DATE(2026,1,1),Операции!$A:$A,"&lt;="&amp;EOMONTH(DATE(2026,1,1),0))+SUMIFS(Операции!$E:$E,Операции!$B:$B,"Приход",Операции!$D:$D,"Выручка: разовые работы",Операции!$A:$A,"&gt;="&amp;DATE(2026,1,1),Операции!$A:$A,"&lt;="&amp;EOMONTH(DATE(2026,1,1),0))</f>
        <v>1050000</v>
      </c>
      <c r="C2" s="9">
        <f>SUMIFS(Операции!$E:$E,Операции!$B:$B,"Приход",Операции!$D:$D,"Выручка: основной продукт",Операции!$A:$A,"&gt;="&amp;DATE(2026,2,1),Операции!$A:$A,"&lt;="&amp;EOMONTH(DATE(2026,2,1),0))+SUMIFS(Операции!$E:$E,Операции!$B:$B,"Приход",Операции!$D:$D,"Выручка: второй продукт",Операции!$A:$A,"&gt;="&amp;DATE(2026,2,1),Операции!$A:$A,"&lt;="&amp;EOMONTH(DATE(2026,2,1),0))+SUMIFS(Операции!$E:$E,Операции!$B:$B,"Приход",Операции!$D:$D,"Выручка: разовые работы",Операции!$A:$A,"&gt;="&amp;DATE(2026,2,1),Операции!$A:$A,"&lt;="&amp;EOMONTH(DATE(2026,2,1),0))</f>
        <v>1250000</v>
      </c>
      <c r="D2" s="9">
        <f>SUMIFS(Операции!$E:$E,Операции!$B:$B,"Приход",Операции!$D:$D,"Выручка: основной продукт",Операции!$A:$A,"&gt;="&amp;DATE(2026,3,1),Операции!$A:$A,"&lt;="&amp;EOMONTH(DATE(2026,3,1),0))+SUMIFS(Операции!$E:$E,Операции!$B:$B,"Приход",Операции!$D:$D,"Выручка: второй продукт",Операции!$A:$A,"&gt;="&amp;DATE(2026,3,1),Операции!$A:$A,"&lt;="&amp;EOMONTH(DATE(2026,3,1),0))+SUMIFS(Операции!$E:$E,Операции!$B:$B,"Приход",Операции!$D:$D,"Выручка: разовые работы",Операции!$A:$A,"&gt;="&amp;DATE(2026,3,1),Операции!$A:$A,"&lt;="&amp;EOMONTH(DATE(2026,3,1),0))</f>
        <v>1400000</v>
      </c>
      <c r="E2" s="9">
        <f>SUMIFS(Операции!$E:$E,Операции!$B:$B,"Приход",Операции!$D:$D,"Выручка: основной продукт",Операции!$A:$A,"&gt;="&amp;DATE(2026,4,1),Операции!$A:$A,"&lt;="&amp;EOMONTH(DATE(2026,4,1),0))+SUMIFS(Операции!$E:$E,Операции!$B:$B,"Приход",Операции!$D:$D,"Выручка: второй продукт",Операции!$A:$A,"&gt;="&amp;DATE(2026,4,1),Операции!$A:$A,"&lt;="&amp;EOMONTH(DATE(2026,4,1),0))+SUMIFS(Операции!$E:$E,Операции!$B:$B,"Приход",Операции!$D:$D,"Выручка: разовые работы",Операции!$A:$A,"&gt;="&amp;DATE(2026,4,1),Операции!$A:$A,"&lt;="&amp;EOMONTH(DATE(2026,4,1),0))</f>
        <v>0</v>
      </c>
      <c r="F2" s="9">
        <f>SUMIFS(Операции!$E:$E,Операции!$B:$B,"Приход",Операции!$D:$D,"Выручка: основной продукт",Операции!$A:$A,"&gt;="&amp;DATE(2026,5,1),Операции!$A:$A,"&lt;="&amp;EOMONTH(DATE(2026,5,1),0))+SUMIFS(Операции!$E:$E,Операции!$B:$B,"Приход",Операции!$D:$D,"Выручка: второй продукт",Операции!$A:$A,"&gt;="&amp;DATE(2026,5,1),Операции!$A:$A,"&lt;="&amp;EOMONTH(DATE(2026,5,1),0))+SUMIFS(Операции!$E:$E,Операции!$B:$B,"Приход",Операции!$D:$D,"Выручка: разовые работы",Операции!$A:$A,"&gt;="&amp;DATE(2026,5,1),Операции!$A:$A,"&lt;="&amp;EOMONTH(DATE(2026,5,1),0))</f>
        <v>0</v>
      </c>
      <c r="G2" s="9">
        <f>SUMIFS(Операции!$E:$E,Операции!$B:$B,"Приход",Операции!$D:$D,"Выручка: основной продукт",Операции!$A:$A,"&gt;="&amp;DATE(2026,6,1),Операции!$A:$A,"&lt;="&amp;EOMONTH(DATE(2026,6,1),0))+SUMIFS(Операции!$E:$E,Операции!$B:$B,"Приход",Операции!$D:$D,"Выручка: второй продукт",Операции!$A:$A,"&gt;="&amp;DATE(2026,6,1),Операции!$A:$A,"&lt;="&amp;EOMONTH(DATE(2026,6,1),0))+SUMIFS(Операции!$E:$E,Операции!$B:$B,"Приход",Операции!$D:$D,"Выручка: разовые работы",Операции!$A:$A,"&gt;="&amp;DATE(2026,6,1),Операции!$A:$A,"&lt;="&amp;EOMONTH(DATE(2026,6,1),0))</f>
        <v>0</v>
      </c>
      <c r="H2" s="9">
        <f>SUMIFS(Операции!$E:$E,Операции!$B:$B,"Приход",Операции!$D:$D,"Выручка: основной продукт",Операции!$A:$A,"&gt;="&amp;DATE(2026,7,1),Операции!$A:$A,"&lt;="&amp;EOMONTH(DATE(2026,7,1),0))+SUMIFS(Операции!$E:$E,Операции!$B:$B,"Приход",Операции!$D:$D,"Выручка: второй продукт",Операции!$A:$A,"&gt;="&amp;DATE(2026,7,1),Операции!$A:$A,"&lt;="&amp;EOMONTH(DATE(2026,7,1),0))+SUMIFS(Операции!$E:$E,Операции!$B:$B,"Приход",Операции!$D:$D,"Выручка: разовые работы",Операции!$A:$A,"&gt;="&amp;DATE(2026,7,1),Операции!$A:$A,"&lt;="&amp;EOMONTH(DATE(2026,7,1),0))</f>
        <v>0</v>
      </c>
      <c r="I2" s="9">
        <f>SUMIFS(Операции!$E:$E,Операции!$B:$B,"Приход",Операции!$D:$D,"Выручка: основной продукт",Операции!$A:$A,"&gt;="&amp;DATE(2026,8,1),Операции!$A:$A,"&lt;="&amp;EOMONTH(DATE(2026,8,1),0))+SUMIFS(Операции!$E:$E,Операции!$B:$B,"Приход",Операции!$D:$D,"Выручка: второй продукт",Операции!$A:$A,"&gt;="&amp;DATE(2026,8,1),Операции!$A:$A,"&lt;="&amp;EOMONTH(DATE(2026,8,1),0))+SUMIFS(Операции!$E:$E,Операции!$B:$B,"Приход",Операции!$D:$D,"Выручка: разовые работы",Операции!$A:$A,"&gt;="&amp;DATE(2026,8,1),Операции!$A:$A,"&lt;="&amp;EOMONTH(DATE(2026,8,1),0))</f>
        <v>0</v>
      </c>
      <c r="J2" s="9">
        <f>SUMIFS(Операции!$E:$E,Операции!$B:$B,"Приход",Операции!$D:$D,"Выручка: основной продукт",Операции!$A:$A,"&gt;="&amp;DATE(2026,9,1),Операции!$A:$A,"&lt;="&amp;EOMONTH(DATE(2026,9,1),0))+SUMIFS(Операции!$E:$E,Операции!$B:$B,"Приход",Операции!$D:$D,"Выручка: второй продукт",Операции!$A:$A,"&gt;="&amp;DATE(2026,9,1),Операции!$A:$A,"&lt;="&amp;EOMONTH(DATE(2026,9,1),0))+SUMIFS(Операции!$E:$E,Операции!$B:$B,"Приход",Операции!$D:$D,"Выручка: разовые работы",Операции!$A:$A,"&gt;="&amp;DATE(2026,9,1),Операции!$A:$A,"&lt;="&amp;EOMONTH(DATE(2026,9,1),0))</f>
        <v>0</v>
      </c>
      <c r="K2" s="9">
        <f>SUMIFS(Операции!$E:$E,Операции!$B:$B,"Приход",Операции!$D:$D,"Выручка: основной продукт",Операции!$A:$A,"&gt;="&amp;DATE(2026,10,1),Операции!$A:$A,"&lt;="&amp;EOMONTH(DATE(2026,10,1),0))+SUMIFS(Операции!$E:$E,Операции!$B:$B,"Приход",Операции!$D:$D,"Выручка: второй продукт",Операции!$A:$A,"&gt;="&amp;DATE(2026,10,1),Операции!$A:$A,"&lt;="&amp;EOMONTH(DATE(2026,10,1),0))+SUMIFS(Операции!$E:$E,Операции!$B:$B,"Приход",Операции!$D:$D,"Выручка: разовые работы",Операции!$A:$A,"&gt;="&amp;DATE(2026,10,1),Операции!$A:$A,"&lt;="&amp;EOMONTH(DATE(2026,10,1),0))</f>
        <v>0</v>
      </c>
      <c r="L2" s="9">
        <f>SUMIFS(Операции!$E:$E,Операции!$B:$B,"Приход",Операции!$D:$D,"Выручка: основной продукт",Операции!$A:$A,"&gt;="&amp;DATE(2026,11,1),Операции!$A:$A,"&lt;="&amp;EOMONTH(DATE(2026,11,1),0))+SUMIFS(Операции!$E:$E,Операции!$B:$B,"Приход",Операции!$D:$D,"Выручка: второй продукт",Операции!$A:$A,"&gt;="&amp;DATE(2026,11,1),Операции!$A:$A,"&lt;="&amp;EOMONTH(DATE(2026,11,1),0))+SUMIFS(Операции!$E:$E,Операции!$B:$B,"Приход",Операции!$D:$D,"Выручка: разовые работы",Операции!$A:$A,"&gt;="&amp;DATE(2026,11,1),Операции!$A:$A,"&lt;="&amp;EOMONTH(DATE(2026,11,1),0))</f>
        <v>0</v>
      </c>
      <c r="M2" s="9">
        <f>SUMIFS(Операции!$E:$E,Операции!$B:$B,"Приход",Операции!$D:$D,"Выручка: основной продукт",Операции!$A:$A,"&gt;="&amp;DATE(2026,12,1),Операции!$A:$A,"&lt;="&amp;EOMONTH(DATE(2026,12,1),0))+SUMIFS(Операции!$E:$E,Операции!$B:$B,"Приход",Операции!$D:$D,"Выручка: второй продукт",Операции!$A:$A,"&gt;="&amp;DATE(2026,12,1),Операции!$A:$A,"&lt;="&amp;EOMONTH(DATE(2026,12,1),0))+SUMIFS(Операции!$E:$E,Операции!$B:$B,"Приход",Операции!$D:$D,"Выручка: разовые работы",Операции!$A:$A,"&gt;="&amp;DATE(2026,12,1),Операции!$A:$A,"&lt;="&amp;EOMONTH(DATE(2026,12,1),0))</f>
        <v>0</v>
      </c>
      <c r="N2" s="9">
        <f>SUM(B2:M2)</f>
        <v>3700000</v>
      </c>
    </row>
    <row r="3" spans="1:14" x14ac:dyDescent="0.25">
      <c r="A3" t="s">
        <v>138</v>
      </c>
      <c r="B3" s="7">
        <f>SUMIFS(Операции!$E:$E,Операции!$B:$B,"Приход",Операции!$D:$D,"Выручка: основной продукт",Операции!$A:$A,"&gt;="&amp;DATE(2026,1,1),Операции!$A:$A,"&lt;="&amp;EOMONTH(DATE(2026,1,1),0))</f>
        <v>750000</v>
      </c>
      <c r="C3" s="7">
        <f>SUMIFS(Операции!$E:$E,Операции!$B:$B,"Приход",Операции!$D:$D,"Выручка: основной продукт",Операции!$A:$A,"&gt;="&amp;DATE(2026,2,1),Операции!$A:$A,"&lt;="&amp;EOMONTH(DATE(2026,2,1),0))</f>
        <v>800000</v>
      </c>
      <c r="D3" s="7">
        <f>SUMIFS(Операции!$E:$E,Операции!$B:$B,"Приход",Операции!$D:$D,"Выручка: основной продукт",Операции!$A:$A,"&gt;="&amp;DATE(2026,3,1),Операции!$A:$A,"&lt;="&amp;EOMONTH(DATE(2026,3,1),0))</f>
        <v>850000</v>
      </c>
      <c r="E3" s="7">
        <f>SUMIFS(Операции!$E:$E,Операции!$B:$B,"Приход",Операции!$D:$D,"Выручка: основной продукт",Операции!$A:$A,"&gt;="&amp;DATE(2026,4,1),Операции!$A:$A,"&lt;="&amp;EOMONTH(DATE(2026,4,1),0))</f>
        <v>0</v>
      </c>
      <c r="F3" s="7">
        <f>SUMIFS(Операции!$E:$E,Операции!$B:$B,"Приход",Операции!$D:$D,"Выручка: основной продукт",Операции!$A:$A,"&gt;="&amp;DATE(2026,5,1),Операции!$A:$A,"&lt;="&amp;EOMONTH(DATE(2026,5,1),0))</f>
        <v>0</v>
      </c>
      <c r="G3" s="7">
        <f>SUMIFS(Операции!$E:$E,Операции!$B:$B,"Приход",Операции!$D:$D,"Выручка: основной продукт",Операции!$A:$A,"&gt;="&amp;DATE(2026,6,1),Операции!$A:$A,"&lt;="&amp;EOMONTH(DATE(2026,6,1),0))</f>
        <v>0</v>
      </c>
      <c r="H3" s="7">
        <f>SUMIFS(Операции!$E:$E,Операции!$B:$B,"Приход",Операции!$D:$D,"Выручка: основной продукт",Операции!$A:$A,"&gt;="&amp;DATE(2026,7,1),Операции!$A:$A,"&lt;="&amp;EOMONTH(DATE(2026,7,1),0))</f>
        <v>0</v>
      </c>
      <c r="I3" s="7">
        <f>SUMIFS(Операции!$E:$E,Операции!$B:$B,"Приход",Операции!$D:$D,"Выручка: основной продукт",Операции!$A:$A,"&gt;="&amp;DATE(2026,8,1),Операции!$A:$A,"&lt;="&amp;EOMONTH(DATE(2026,8,1),0))</f>
        <v>0</v>
      </c>
      <c r="J3" s="7">
        <f>SUMIFS(Операции!$E:$E,Операции!$B:$B,"Приход",Операции!$D:$D,"Выручка: основной продукт",Операции!$A:$A,"&gt;="&amp;DATE(2026,9,1),Операции!$A:$A,"&lt;="&amp;EOMONTH(DATE(2026,9,1),0))</f>
        <v>0</v>
      </c>
      <c r="K3" s="7">
        <f>SUMIFS(Операции!$E:$E,Операции!$B:$B,"Приход",Операции!$D:$D,"Выручка: основной продукт",Операции!$A:$A,"&gt;="&amp;DATE(2026,10,1),Операции!$A:$A,"&lt;="&amp;EOMONTH(DATE(2026,10,1),0))</f>
        <v>0</v>
      </c>
      <c r="L3" s="7">
        <f>SUMIFS(Операции!$E:$E,Операции!$B:$B,"Приход",Операции!$D:$D,"Выручка: основной продукт",Операции!$A:$A,"&gt;="&amp;DATE(2026,11,1),Операции!$A:$A,"&lt;="&amp;EOMONTH(DATE(2026,11,1),0))</f>
        <v>0</v>
      </c>
      <c r="M3" s="7">
        <f>SUMIFS(Операции!$E:$E,Операции!$B:$B,"Приход",Операции!$D:$D,"Выручка: основной продукт",Операции!$A:$A,"&gt;="&amp;DATE(2026,12,1),Операции!$A:$A,"&lt;="&amp;EOMONTH(DATE(2026,12,1),0))</f>
        <v>0</v>
      </c>
      <c r="N3" s="7">
        <f>SUM(B3:M3)</f>
        <v>2400000</v>
      </c>
    </row>
    <row r="4" spans="1:14" x14ac:dyDescent="0.25">
      <c r="A4" t="s">
        <v>139</v>
      </c>
      <c r="B4" s="7">
        <f>SUMIFS(Операции!$E:$E,Операции!$B:$B,"Приход",Операции!$D:$D,"Выручка: второй продукт",Операции!$A:$A,"&gt;="&amp;DATE(2026,1,1),Операции!$A:$A,"&lt;="&amp;EOMONTH(DATE(2026,1,1),0))</f>
        <v>300000</v>
      </c>
      <c r="C4" s="7">
        <f>SUMIFS(Операции!$E:$E,Операции!$B:$B,"Приход",Операции!$D:$D,"Выручка: второй продукт",Операции!$A:$A,"&gt;="&amp;DATE(2026,2,1),Операции!$A:$A,"&lt;="&amp;EOMONTH(DATE(2026,2,1),0))</f>
        <v>300000</v>
      </c>
      <c r="D4" s="7">
        <f>SUMIFS(Операции!$E:$E,Операции!$B:$B,"Приход",Операции!$D:$D,"Выручка: второй продукт",Операции!$A:$A,"&gt;="&amp;DATE(2026,3,1),Операции!$A:$A,"&lt;="&amp;EOMONTH(DATE(2026,3,1),0))</f>
        <v>320000</v>
      </c>
      <c r="E4" s="7">
        <f>SUMIFS(Операции!$E:$E,Операции!$B:$B,"Приход",Операции!$D:$D,"Выручка: второй продукт",Операции!$A:$A,"&gt;="&amp;DATE(2026,4,1),Операции!$A:$A,"&lt;="&amp;EOMONTH(DATE(2026,4,1),0))</f>
        <v>0</v>
      </c>
      <c r="F4" s="7">
        <f>SUMIFS(Операции!$E:$E,Операции!$B:$B,"Приход",Операции!$D:$D,"Выручка: второй продукт",Операции!$A:$A,"&gt;="&amp;DATE(2026,5,1),Операции!$A:$A,"&lt;="&amp;EOMONTH(DATE(2026,5,1),0))</f>
        <v>0</v>
      </c>
      <c r="G4" s="7">
        <f>SUMIFS(Операции!$E:$E,Операции!$B:$B,"Приход",Операции!$D:$D,"Выручка: второй продукт",Операции!$A:$A,"&gt;="&amp;DATE(2026,6,1),Операции!$A:$A,"&lt;="&amp;EOMONTH(DATE(2026,6,1),0))</f>
        <v>0</v>
      </c>
      <c r="H4" s="7">
        <f>SUMIFS(Операции!$E:$E,Операции!$B:$B,"Приход",Операции!$D:$D,"Выручка: второй продукт",Операции!$A:$A,"&gt;="&amp;DATE(2026,7,1),Операции!$A:$A,"&lt;="&amp;EOMONTH(DATE(2026,7,1),0))</f>
        <v>0</v>
      </c>
      <c r="I4" s="7">
        <f>SUMIFS(Операции!$E:$E,Операции!$B:$B,"Приход",Операции!$D:$D,"Выручка: второй продукт",Операции!$A:$A,"&gt;="&amp;DATE(2026,8,1),Операции!$A:$A,"&lt;="&amp;EOMONTH(DATE(2026,8,1),0))</f>
        <v>0</v>
      </c>
      <c r="J4" s="7">
        <f>SUMIFS(Операции!$E:$E,Операции!$B:$B,"Приход",Операции!$D:$D,"Выручка: второй продукт",Операции!$A:$A,"&gt;="&amp;DATE(2026,9,1),Операции!$A:$A,"&lt;="&amp;EOMONTH(DATE(2026,9,1),0))</f>
        <v>0</v>
      </c>
      <c r="K4" s="7">
        <f>SUMIFS(Операции!$E:$E,Операции!$B:$B,"Приход",Операции!$D:$D,"Выручка: второй продукт",Операции!$A:$A,"&gt;="&amp;DATE(2026,10,1),Операции!$A:$A,"&lt;="&amp;EOMONTH(DATE(2026,10,1),0))</f>
        <v>0</v>
      </c>
      <c r="L4" s="7">
        <f>SUMIFS(Операции!$E:$E,Операции!$B:$B,"Приход",Операции!$D:$D,"Выручка: второй продукт",Операции!$A:$A,"&gt;="&amp;DATE(2026,11,1),Операции!$A:$A,"&lt;="&amp;EOMONTH(DATE(2026,11,1),0))</f>
        <v>0</v>
      </c>
      <c r="M4" s="7">
        <f>SUMIFS(Операции!$E:$E,Операции!$B:$B,"Приход",Операции!$D:$D,"Выручка: второй продукт",Операции!$A:$A,"&gt;="&amp;DATE(2026,12,1),Операции!$A:$A,"&lt;="&amp;EOMONTH(DATE(2026,12,1),0))</f>
        <v>0</v>
      </c>
      <c r="N4" s="7">
        <f>SUM(B4:M4)</f>
        <v>920000</v>
      </c>
    </row>
    <row r="5" spans="1:14" x14ac:dyDescent="0.25">
      <c r="A5" t="s">
        <v>140</v>
      </c>
      <c r="B5" s="7">
        <f>SUMIFS(Операции!$E:$E,Операции!$B:$B,"Приход",Операции!$D:$D,"Выручка: разовые работы",Операции!$A:$A,"&gt;="&amp;DATE(2026,1,1),Операции!$A:$A,"&lt;="&amp;EOMONTH(DATE(2026,1,1),0))</f>
        <v>0</v>
      </c>
      <c r="C5" s="7">
        <f>SUMIFS(Операции!$E:$E,Операции!$B:$B,"Приход",Операции!$D:$D,"Выручка: разовые работы",Операции!$A:$A,"&gt;="&amp;DATE(2026,2,1),Операции!$A:$A,"&lt;="&amp;EOMONTH(DATE(2026,2,1),0))</f>
        <v>150000</v>
      </c>
      <c r="D5" s="7">
        <f>SUMIFS(Операции!$E:$E,Операции!$B:$B,"Приход",Операции!$D:$D,"Выручка: разовые работы",Операции!$A:$A,"&gt;="&amp;DATE(2026,3,1),Операции!$A:$A,"&lt;="&amp;EOMONTH(DATE(2026,3,1),0))</f>
        <v>230000</v>
      </c>
      <c r="E5" s="7">
        <f>SUMIFS(Операции!$E:$E,Операции!$B:$B,"Приход",Операции!$D:$D,"Выручка: разовые работы",Операции!$A:$A,"&gt;="&amp;DATE(2026,4,1),Операции!$A:$A,"&lt;="&amp;EOMONTH(DATE(2026,4,1),0))</f>
        <v>0</v>
      </c>
      <c r="F5" s="7">
        <f>SUMIFS(Операции!$E:$E,Операции!$B:$B,"Приход",Операции!$D:$D,"Выручка: разовые работы",Операции!$A:$A,"&gt;="&amp;DATE(2026,5,1),Операции!$A:$A,"&lt;="&amp;EOMONTH(DATE(2026,5,1),0))</f>
        <v>0</v>
      </c>
      <c r="G5" s="7">
        <f>SUMIFS(Операции!$E:$E,Операции!$B:$B,"Приход",Операции!$D:$D,"Выручка: разовые работы",Операции!$A:$A,"&gt;="&amp;DATE(2026,6,1),Операции!$A:$A,"&lt;="&amp;EOMONTH(DATE(2026,6,1),0))</f>
        <v>0</v>
      </c>
      <c r="H5" s="7">
        <f>SUMIFS(Операции!$E:$E,Операции!$B:$B,"Приход",Операции!$D:$D,"Выручка: разовые работы",Операции!$A:$A,"&gt;="&amp;DATE(2026,7,1),Операции!$A:$A,"&lt;="&amp;EOMONTH(DATE(2026,7,1),0))</f>
        <v>0</v>
      </c>
      <c r="I5" s="7">
        <f>SUMIFS(Операции!$E:$E,Операции!$B:$B,"Приход",Операции!$D:$D,"Выручка: разовые работы",Операции!$A:$A,"&gt;="&amp;DATE(2026,8,1),Операции!$A:$A,"&lt;="&amp;EOMONTH(DATE(2026,8,1),0))</f>
        <v>0</v>
      </c>
      <c r="J5" s="7">
        <f>SUMIFS(Операции!$E:$E,Операции!$B:$B,"Приход",Операции!$D:$D,"Выручка: разовые работы",Операции!$A:$A,"&gt;="&amp;DATE(2026,9,1),Операции!$A:$A,"&lt;="&amp;EOMONTH(DATE(2026,9,1),0))</f>
        <v>0</v>
      </c>
      <c r="K5" s="7">
        <f>SUMIFS(Операции!$E:$E,Операции!$B:$B,"Приход",Операции!$D:$D,"Выручка: разовые работы",Операции!$A:$A,"&gt;="&amp;DATE(2026,10,1),Операции!$A:$A,"&lt;="&amp;EOMONTH(DATE(2026,10,1),0))</f>
        <v>0</v>
      </c>
      <c r="L5" s="7">
        <f>SUMIFS(Операции!$E:$E,Операции!$B:$B,"Приход",Операции!$D:$D,"Выручка: разовые работы",Операции!$A:$A,"&gt;="&amp;DATE(2026,11,1),Операции!$A:$A,"&lt;="&amp;EOMONTH(DATE(2026,11,1),0))</f>
        <v>0</v>
      </c>
      <c r="M5" s="7">
        <f>SUMIFS(Операции!$E:$E,Операции!$B:$B,"Приход",Операции!$D:$D,"Выручка: разовые работы",Операции!$A:$A,"&gt;="&amp;DATE(2026,12,1),Операции!$A:$A,"&lt;="&amp;EOMONTH(DATE(2026,12,1),0))</f>
        <v>0</v>
      </c>
      <c r="N5" s="7">
        <f>SUM(B5:M5)</f>
        <v>380000</v>
      </c>
    </row>
    <row r="6" spans="1:14" s="3" customFormat="1" x14ac:dyDescent="0.25">
      <c r="A6" s="8" t="s">
        <v>141</v>
      </c>
      <c r="B6" s="9">
        <f>SUMIFS(Операции!$E:$E,Операции!$B:$B,"Расход",Операции!$D:$D,"ФОТ производства",Операции!$A:$A,"&gt;="&amp;DATE(2026,1,1),Операции!$A:$A,"&lt;="&amp;EOMONTH(DATE(2026,1,1),0))+SUMIFS(Операции!$E:$E,Операции!$B:$B,"Расход",Операции!$D:$D,"Подрядчики по проектам",Операции!$A:$A,"&gt;="&amp;DATE(2026,1,1),Операции!$A:$A,"&lt;="&amp;EOMONTH(DATE(2026,1,1),0))+SUMIFS(Операции!$E:$E,Операции!$B:$B,"Расход",Операции!$D:$D,"Сервисы под конкретный проект",Операции!$A:$A,"&gt;="&amp;DATE(2026,1,1),Операции!$A:$A,"&lt;="&amp;EOMONTH(DATE(2026,1,1),0))+SUMIFS(Операции!$E:$E,Операции!$B:$B,"Расход",Операции!$D:$D,"Материалы и закупка",Операции!$A:$A,"&gt;="&amp;DATE(2026,1,1),Операции!$A:$A,"&lt;="&amp;EOMONTH(DATE(2026,1,1),0))</f>
        <v>350000</v>
      </c>
      <c r="C6" s="9">
        <f>SUMIFS(Операции!$E:$E,Операции!$B:$B,"Расход",Операции!$D:$D,"ФОТ производства",Операции!$A:$A,"&gt;="&amp;DATE(2026,2,1),Операции!$A:$A,"&lt;="&amp;EOMONTH(DATE(2026,2,1),0))+SUMIFS(Операции!$E:$E,Операции!$B:$B,"Расход",Операции!$D:$D,"Подрядчики по проектам",Операции!$A:$A,"&gt;="&amp;DATE(2026,2,1),Операции!$A:$A,"&lt;="&amp;EOMONTH(DATE(2026,2,1),0))+SUMIFS(Операции!$E:$E,Операции!$B:$B,"Расход",Операции!$D:$D,"Сервисы под конкретный проект",Операции!$A:$A,"&gt;="&amp;DATE(2026,2,1),Операции!$A:$A,"&lt;="&amp;EOMONTH(DATE(2026,2,1),0))+SUMIFS(Операции!$E:$E,Операции!$B:$B,"Расход",Операции!$D:$D,"Материалы и закупка",Операции!$A:$A,"&gt;="&amp;DATE(2026,2,1),Операции!$A:$A,"&lt;="&amp;EOMONTH(DATE(2026,2,1),0))</f>
        <v>435000</v>
      </c>
      <c r="D6" s="9">
        <f>SUMIFS(Операции!$E:$E,Операции!$B:$B,"Расход",Операции!$D:$D,"ФОТ производства",Операции!$A:$A,"&gt;="&amp;DATE(2026,3,1),Операции!$A:$A,"&lt;="&amp;EOMONTH(DATE(2026,3,1),0))+SUMIFS(Операции!$E:$E,Операции!$B:$B,"Расход",Операции!$D:$D,"Подрядчики по проектам",Операции!$A:$A,"&gt;="&amp;DATE(2026,3,1),Операции!$A:$A,"&lt;="&amp;EOMONTH(DATE(2026,3,1),0))+SUMIFS(Операции!$E:$E,Операции!$B:$B,"Расход",Операции!$D:$D,"Сервисы под конкретный проект",Операции!$A:$A,"&gt;="&amp;DATE(2026,3,1),Операции!$A:$A,"&lt;="&amp;EOMONTH(DATE(2026,3,1),0))+SUMIFS(Операции!$E:$E,Операции!$B:$B,"Расход",Операции!$D:$D,"Материалы и закупка",Операции!$A:$A,"&gt;="&amp;DATE(2026,3,1),Операции!$A:$A,"&lt;="&amp;EOMONTH(DATE(2026,3,1),0))</f>
        <v>488000</v>
      </c>
      <c r="E6" s="9">
        <f>SUMIFS(Операции!$E:$E,Операции!$B:$B,"Расход",Операции!$D:$D,"ФОТ производства",Операции!$A:$A,"&gt;="&amp;DATE(2026,4,1),Операции!$A:$A,"&lt;="&amp;EOMONTH(DATE(2026,4,1),0))+SUMIFS(Операции!$E:$E,Операции!$B:$B,"Расход",Операции!$D:$D,"Подрядчики по проектам",Операции!$A:$A,"&gt;="&amp;DATE(2026,4,1),Операции!$A:$A,"&lt;="&amp;EOMONTH(DATE(2026,4,1),0))+SUMIFS(Операции!$E:$E,Операции!$B:$B,"Расход",Операции!$D:$D,"Сервисы под конкретный проект",Операции!$A:$A,"&gt;="&amp;DATE(2026,4,1),Операции!$A:$A,"&lt;="&amp;EOMONTH(DATE(2026,4,1),0))+SUMIFS(Операции!$E:$E,Операции!$B:$B,"Расход",Операции!$D:$D,"Материалы и закупка",Операции!$A:$A,"&gt;="&amp;DATE(2026,4,1),Операции!$A:$A,"&lt;="&amp;EOMONTH(DATE(2026,4,1),0))</f>
        <v>0</v>
      </c>
      <c r="F6" s="9">
        <f>SUMIFS(Операции!$E:$E,Операции!$B:$B,"Расход",Операции!$D:$D,"ФОТ производства",Операции!$A:$A,"&gt;="&amp;DATE(2026,5,1),Операции!$A:$A,"&lt;="&amp;EOMONTH(DATE(2026,5,1),0))+SUMIFS(Операции!$E:$E,Операции!$B:$B,"Расход",Операции!$D:$D,"Подрядчики по проектам",Операции!$A:$A,"&gt;="&amp;DATE(2026,5,1),Операции!$A:$A,"&lt;="&amp;EOMONTH(DATE(2026,5,1),0))+SUMIFS(Операции!$E:$E,Операции!$B:$B,"Расход",Операции!$D:$D,"Сервисы под конкретный проект",Операции!$A:$A,"&gt;="&amp;DATE(2026,5,1),Операции!$A:$A,"&lt;="&amp;EOMONTH(DATE(2026,5,1),0))+SUMIFS(Операции!$E:$E,Операции!$B:$B,"Расход",Операции!$D:$D,"Материалы и закупка",Операции!$A:$A,"&gt;="&amp;DATE(2026,5,1),Операции!$A:$A,"&lt;="&amp;EOMONTH(DATE(2026,5,1),0))</f>
        <v>0</v>
      </c>
      <c r="G6" s="9">
        <f>SUMIFS(Операции!$E:$E,Операции!$B:$B,"Расход",Операции!$D:$D,"ФОТ производства",Операции!$A:$A,"&gt;="&amp;DATE(2026,6,1),Операции!$A:$A,"&lt;="&amp;EOMONTH(DATE(2026,6,1),0))+SUMIFS(Операции!$E:$E,Операции!$B:$B,"Расход",Операции!$D:$D,"Подрядчики по проектам",Операции!$A:$A,"&gt;="&amp;DATE(2026,6,1),Операции!$A:$A,"&lt;="&amp;EOMONTH(DATE(2026,6,1),0))+SUMIFS(Операции!$E:$E,Операции!$B:$B,"Расход",Операции!$D:$D,"Сервисы под конкретный проект",Операции!$A:$A,"&gt;="&amp;DATE(2026,6,1),Операции!$A:$A,"&lt;="&amp;EOMONTH(DATE(2026,6,1),0))+SUMIFS(Операции!$E:$E,Операции!$B:$B,"Расход",Операции!$D:$D,"Материалы и закупка",Операции!$A:$A,"&gt;="&amp;DATE(2026,6,1),Операции!$A:$A,"&lt;="&amp;EOMONTH(DATE(2026,6,1),0))</f>
        <v>0</v>
      </c>
      <c r="H6" s="9">
        <f>SUMIFS(Операции!$E:$E,Операции!$B:$B,"Расход",Операции!$D:$D,"ФОТ производства",Операции!$A:$A,"&gt;="&amp;DATE(2026,7,1),Операции!$A:$A,"&lt;="&amp;EOMONTH(DATE(2026,7,1),0))+SUMIFS(Операции!$E:$E,Операции!$B:$B,"Расход",Операции!$D:$D,"Подрядчики по проектам",Операции!$A:$A,"&gt;="&amp;DATE(2026,7,1),Операции!$A:$A,"&lt;="&amp;EOMONTH(DATE(2026,7,1),0))+SUMIFS(Операции!$E:$E,Операции!$B:$B,"Расход",Операции!$D:$D,"Сервисы под конкретный проект",Операции!$A:$A,"&gt;="&amp;DATE(2026,7,1),Операции!$A:$A,"&lt;="&amp;EOMONTH(DATE(2026,7,1),0))+SUMIFS(Операции!$E:$E,Операции!$B:$B,"Расход",Операции!$D:$D,"Материалы и закупка",Операции!$A:$A,"&gt;="&amp;DATE(2026,7,1),Операции!$A:$A,"&lt;="&amp;EOMONTH(DATE(2026,7,1),0))</f>
        <v>0</v>
      </c>
      <c r="I6" s="9">
        <f>SUMIFS(Операции!$E:$E,Операции!$B:$B,"Расход",Операции!$D:$D,"ФОТ производства",Операции!$A:$A,"&gt;="&amp;DATE(2026,8,1),Операции!$A:$A,"&lt;="&amp;EOMONTH(DATE(2026,8,1),0))+SUMIFS(Операции!$E:$E,Операции!$B:$B,"Расход",Операции!$D:$D,"Подрядчики по проектам",Операции!$A:$A,"&gt;="&amp;DATE(2026,8,1),Операции!$A:$A,"&lt;="&amp;EOMONTH(DATE(2026,8,1),0))+SUMIFS(Операции!$E:$E,Операции!$B:$B,"Расход",Операции!$D:$D,"Сервисы под конкретный проект",Операции!$A:$A,"&gt;="&amp;DATE(2026,8,1),Операции!$A:$A,"&lt;="&amp;EOMONTH(DATE(2026,8,1),0))+SUMIFS(Операции!$E:$E,Операции!$B:$B,"Расход",Операции!$D:$D,"Материалы и закупка",Операции!$A:$A,"&gt;="&amp;DATE(2026,8,1),Операции!$A:$A,"&lt;="&amp;EOMONTH(DATE(2026,8,1),0))</f>
        <v>0</v>
      </c>
      <c r="J6" s="9">
        <f>SUMIFS(Операции!$E:$E,Операции!$B:$B,"Расход",Операции!$D:$D,"ФОТ производства",Операции!$A:$A,"&gt;="&amp;DATE(2026,9,1),Операции!$A:$A,"&lt;="&amp;EOMONTH(DATE(2026,9,1),0))+SUMIFS(Операции!$E:$E,Операции!$B:$B,"Расход",Операции!$D:$D,"Подрядчики по проектам",Операции!$A:$A,"&gt;="&amp;DATE(2026,9,1),Операции!$A:$A,"&lt;="&amp;EOMONTH(DATE(2026,9,1),0))+SUMIFS(Операции!$E:$E,Операции!$B:$B,"Расход",Операции!$D:$D,"Сервисы под конкретный проект",Операции!$A:$A,"&gt;="&amp;DATE(2026,9,1),Операции!$A:$A,"&lt;="&amp;EOMONTH(DATE(2026,9,1),0))+SUMIFS(Операции!$E:$E,Операции!$B:$B,"Расход",Операции!$D:$D,"Материалы и закупка",Операции!$A:$A,"&gt;="&amp;DATE(2026,9,1),Операции!$A:$A,"&lt;="&amp;EOMONTH(DATE(2026,9,1),0))</f>
        <v>0</v>
      </c>
      <c r="K6" s="9">
        <f>SUMIFS(Операции!$E:$E,Операции!$B:$B,"Расход",Операции!$D:$D,"ФОТ производства",Операции!$A:$A,"&gt;="&amp;DATE(2026,10,1),Операции!$A:$A,"&lt;="&amp;EOMONTH(DATE(2026,10,1),0))+SUMIFS(Операции!$E:$E,Операции!$B:$B,"Расход",Операции!$D:$D,"Подрядчики по проектам",Операции!$A:$A,"&gt;="&amp;DATE(2026,10,1),Операции!$A:$A,"&lt;="&amp;EOMONTH(DATE(2026,10,1),0))+SUMIFS(Операции!$E:$E,Операции!$B:$B,"Расход",Операции!$D:$D,"Сервисы под конкретный проект",Операции!$A:$A,"&gt;="&amp;DATE(2026,10,1),Операции!$A:$A,"&lt;="&amp;EOMONTH(DATE(2026,10,1),0))+SUMIFS(Операции!$E:$E,Операции!$B:$B,"Расход",Операции!$D:$D,"Материалы и закупка",Операции!$A:$A,"&gt;="&amp;DATE(2026,10,1),Операции!$A:$A,"&lt;="&amp;EOMONTH(DATE(2026,10,1),0))</f>
        <v>0</v>
      </c>
      <c r="L6" s="9">
        <f>SUMIFS(Операции!$E:$E,Операции!$B:$B,"Расход",Операции!$D:$D,"ФОТ производства",Операции!$A:$A,"&gt;="&amp;DATE(2026,11,1),Операции!$A:$A,"&lt;="&amp;EOMONTH(DATE(2026,11,1),0))+SUMIFS(Операции!$E:$E,Операции!$B:$B,"Расход",Операции!$D:$D,"Подрядчики по проектам",Операции!$A:$A,"&gt;="&amp;DATE(2026,11,1),Операции!$A:$A,"&lt;="&amp;EOMONTH(DATE(2026,11,1),0))+SUMIFS(Операции!$E:$E,Операции!$B:$B,"Расход",Операции!$D:$D,"Сервисы под конкретный проект",Операции!$A:$A,"&gt;="&amp;DATE(2026,11,1),Операции!$A:$A,"&lt;="&amp;EOMONTH(DATE(2026,11,1),0))+SUMIFS(Операции!$E:$E,Операции!$B:$B,"Расход",Операции!$D:$D,"Материалы и закупка",Операции!$A:$A,"&gt;="&amp;DATE(2026,11,1),Операции!$A:$A,"&lt;="&amp;EOMONTH(DATE(2026,11,1),0))</f>
        <v>0</v>
      </c>
      <c r="M6" s="9">
        <f>SUMIFS(Операции!$E:$E,Операции!$B:$B,"Расход",Операции!$D:$D,"ФОТ производства",Операции!$A:$A,"&gt;="&amp;DATE(2026,12,1),Операции!$A:$A,"&lt;="&amp;EOMONTH(DATE(2026,12,1),0))+SUMIFS(Операции!$E:$E,Операции!$B:$B,"Расход",Операции!$D:$D,"Подрядчики по проектам",Операции!$A:$A,"&gt;="&amp;DATE(2026,12,1),Операции!$A:$A,"&lt;="&amp;EOMONTH(DATE(2026,12,1),0))+SUMIFS(Операции!$E:$E,Операции!$B:$B,"Расход",Операции!$D:$D,"Сервисы под конкретный проект",Операции!$A:$A,"&gt;="&amp;DATE(2026,12,1),Операции!$A:$A,"&lt;="&amp;EOMONTH(DATE(2026,12,1),0))+SUMIFS(Операции!$E:$E,Операции!$B:$B,"Расход",Операции!$D:$D,"Материалы и закупка",Операции!$A:$A,"&gt;="&amp;DATE(2026,12,1),Операции!$A:$A,"&lt;="&amp;EOMONTH(DATE(2026,12,1),0))</f>
        <v>0</v>
      </c>
      <c r="N6" s="9">
        <f>SUM(B6:M6)</f>
        <v>1273000</v>
      </c>
    </row>
    <row r="7" spans="1:14" x14ac:dyDescent="0.25">
      <c r="A7" t="s">
        <v>142</v>
      </c>
      <c r="B7" s="7">
        <f>SUMIFS(Операции!$E:$E,Операции!$B:$B,"Расход",Операции!$D:$D,"ФОТ производства",Операции!$A:$A,"&gt;="&amp;DATE(2026,1,1),Операции!$A:$A,"&lt;="&amp;EOMONTH(DATE(2026,1,1),0))</f>
        <v>350000</v>
      </c>
      <c r="C7" s="7">
        <f>SUMIFS(Операции!$E:$E,Операции!$B:$B,"Расход",Операции!$D:$D,"ФОТ производства",Операции!$A:$A,"&gt;="&amp;DATE(2026,2,1),Операции!$A:$A,"&lt;="&amp;EOMONTH(DATE(2026,2,1),0))</f>
        <v>365000</v>
      </c>
      <c r="D7" s="7">
        <f>SUMIFS(Операции!$E:$E,Операции!$B:$B,"Расход",Операции!$D:$D,"ФОТ производства",Операции!$A:$A,"&gt;="&amp;DATE(2026,3,1),Операции!$A:$A,"&lt;="&amp;EOMONTH(DATE(2026,3,1),0))</f>
        <v>380000</v>
      </c>
      <c r="E7" s="7">
        <f>SUMIFS(Операции!$E:$E,Операции!$B:$B,"Расход",Операции!$D:$D,"ФОТ производства",Операции!$A:$A,"&gt;="&amp;DATE(2026,4,1),Операции!$A:$A,"&lt;="&amp;EOMONTH(DATE(2026,4,1),0))</f>
        <v>0</v>
      </c>
      <c r="F7" s="7">
        <f>SUMIFS(Операции!$E:$E,Операции!$B:$B,"Расход",Операции!$D:$D,"ФОТ производства",Операции!$A:$A,"&gt;="&amp;DATE(2026,5,1),Операции!$A:$A,"&lt;="&amp;EOMONTH(DATE(2026,5,1),0))</f>
        <v>0</v>
      </c>
      <c r="G7" s="7">
        <f>SUMIFS(Операции!$E:$E,Операции!$B:$B,"Расход",Операции!$D:$D,"ФОТ производства",Операции!$A:$A,"&gt;="&amp;DATE(2026,6,1),Операции!$A:$A,"&lt;="&amp;EOMONTH(DATE(2026,6,1),0))</f>
        <v>0</v>
      </c>
      <c r="H7" s="7">
        <f>SUMIFS(Операции!$E:$E,Операции!$B:$B,"Расход",Операции!$D:$D,"ФОТ производства",Операции!$A:$A,"&gt;="&amp;DATE(2026,7,1),Операции!$A:$A,"&lt;="&amp;EOMONTH(DATE(2026,7,1),0))</f>
        <v>0</v>
      </c>
      <c r="I7" s="7">
        <f>SUMIFS(Операции!$E:$E,Операции!$B:$B,"Расход",Операции!$D:$D,"ФОТ производства",Операции!$A:$A,"&gt;="&amp;DATE(2026,8,1),Операции!$A:$A,"&lt;="&amp;EOMONTH(DATE(2026,8,1),0))</f>
        <v>0</v>
      </c>
      <c r="J7" s="7">
        <f>SUMIFS(Операции!$E:$E,Операции!$B:$B,"Расход",Операции!$D:$D,"ФОТ производства",Операции!$A:$A,"&gt;="&amp;DATE(2026,9,1),Операции!$A:$A,"&lt;="&amp;EOMONTH(DATE(2026,9,1),0))</f>
        <v>0</v>
      </c>
      <c r="K7" s="7">
        <f>SUMIFS(Операции!$E:$E,Операции!$B:$B,"Расход",Операции!$D:$D,"ФОТ производства",Операции!$A:$A,"&gt;="&amp;DATE(2026,10,1),Операции!$A:$A,"&lt;="&amp;EOMONTH(DATE(2026,10,1),0))</f>
        <v>0</v>
      </c>
      <c r="L7" s="7">
        <f>SUMIFS(Операции!$E:$E,Операции!$B:$B,"Расход",Операции!$D:$D,"ФОТ производства",Операции!$A:$A,"&gt;="&amp;DATE(2026,11,1),Операции!$A:$A,"&lt;="&amp;EOMONTH(DATE(2026,11,1),0))</f>
        <v>0</v>
      </c>
      <c r="M7" s="7">
        <f>SUMIFS(Операции!$E:$E,Операции!$B:$B,"Расход",Операции!$D:$D,"ФОТ производства",Операции!$A:$A,"&gt;="&amp;DATE(2026,12,1),Операции!$A:$A,"&lt;="&amp;EOMONTH(DATE(2026,12,1),0))</f>
        <v>0</v>
      </c>
      <c r="N7" s="7">
        <f>SUM(B7:M7)</f>
        <v>1095000</v>
      </c>
    </row>
    <row r="8" spans="1:14" x14ac:dyDescent="0.25">
      <c r="A8" t="s">
        <v>143</v>
      </c>
      <c r="B8" s="7">
        <f>SUMIFS(Операции!$E:$E,Операции!$B:$B,"Расход",Операции!$D:$D,"Подрядчики по проектам",Операции!$A:$A,"&gt;="&amp;DATE(2026,1,1),Операции!$A:$A,"&lt;="&amp;EOMONTH(DATE(2026,1,1),0))</f>
        <v>0</v>
      </c>
      <c r="C8" s="7">
        <f>SUMIFS(Операции!$E:$E,Операции!$B:$B,"Расход",Операции!$D:$D,"Подрядчики по проектам",Операции!$A:$A,"&gt;="&amp;DATE(2026,2,1),Операции!$A:$A,"&lt;="&amp;EOMONTH(DATE(2026,2,1),0))</f>
        <v>70000</v>
      </c>
      <c r="D8" s="7">
        <f>SUMIFS(Операции!$E:$E,Операции!$B:$B,"Расход",Операции!$D:$D,"Подрядчики по проектам",Операции!$A:$A,"&gt;="&amp;DATE(2026,3,1),Операции!$A:$A,"&lt;="&amp;EOMONTH(DATE(2026,3,1),0))</f>
        <v>90000</v>
      </c>
      <c r="E8" s="7">
        <f>SUMIFS(Операции!$E:$E,Операции!$B:$B,"Расход",Операции!$D:$D,"Подрядчики по проектам",Операции!$A:$A,"&gt;="&amp;DATE(2026,4,1),Операции!$A:$A,"&lt;="&amp;EOMONTH(DATE(2026,4,1),0))</f>
        <v>0</v>
      </c>
      <c r="F8" s="7">
        <f>SUMIFS(Операции!$E:$E,Операции!$B:$B,"Расход",Операции!$D:$D,"Подрядчики по проектам",Операции!$A:$A,"&gt;="&amp;DATE(2026,5,1),Операции!$A:$A,"&lt;="&amp;EOMONTH(DATE(2026,5,1),0))</f>
        <v>0</v>
      </c>
      <c r="G8" s="7">
        <f>SUMIFS(Операции!$E:$E,Операции!$B:$B,"Расход",Операции!$D:$D,"Подрядчики по проектам",Операции!$A:$A,"&gt;="&amp;DATE(2026,6,1),Операции!$A:$A,"&lt;="&amp;EOMONTH(DATE(2026,6,1),0))</f>
        <v>0</v>
      </c>
      <c r="H8" s="7">
        <f>SUMIFS(Операции!$E:$E,Операции!$B:$B,"Расход",Операции!$D:$D,"Подрядчики по проектам",Операции!$A:$A,"&gt;="&amp;DATE(2026,7,1),Операции!$A:$A,"&lt;="&amp;EOMONTH(DATE(2026,7,1),0))</f>
        <v>0</v>
      </c>
      <c r="I8" s="7">
        <f>SUMIFS(Операции!$E:$E,Операции!$B:$B,"Расход",Операции!$D:$D,"Подрядчики по проектам",Операции!$A:$A,"&gt;="&amp;DATE(2026,8,1),Операции!$A:$A,"&lt;="&amp;EOMONTH(DATE(2026,8,1),0))</f>
        <v>0</v>
      </c>
      <c r="J8" s="7">
        <f>SUMIFS(Операции!$E:$E,Операции!$B:$B,"Расход",Операции!$D:$D,"Подрядчики по проектам",Операции!$A:$A,"&gt;="&amp;DATE(2026,9,1),Операции!$A:$A,"&lt;="&amp;EOMONTH(DATE(2026,9,1),0))</f>
        <v>0</v>
      </c>
      <c r="K8" s="7">
        <f>SUMIFS(Операции!$E:$E,Операции!$B:$B,"Расход",Операции!$D:$D,"Подрядчики по проектам",Операции!$A:$A,"&gt;="&amp;DATE(2026,10,1),Операции!$A:$A,"&lt;="&amp;EOMONTH(DATE(2026,10,1),0))</f>
        <v>0</v>
      </c>
      <c r="L8" s="7">
        <f>SUMIFS(Операции!$E:$E,Операции!$B:$B,"Расход",Операции!$D:$D,"Подрядчики по проектам",Операции!$A:$A,"&gt;="&amp;DATE(2026,11,1),Операции!$A:$A,"&lt;="&amp;EOMONTH(DATE(2026,11,1),0))</f>
        <v>0</v>
      </c>
      <c r="M8" s="7">
        <f>SUMIFS(Операции!$E:$E,Операции!$B:$B,"Расход",Операции!$D:$D,"Подрядчики по проектам",Операции!$A:$A,"&gt;="&amp;DATE(2026,12,1),Операции!$A:$A,"&lt;="&amp;EOMONTH(DATE(2026,12,1),0))</f>
        <v>0</v>
      </c>
      <c r="N8" s="7">
        <f>SUM(B8:M8)</f>
        <v>160000</v>
      </c>
    </row>
    <row r="9" spans="1:14" x14ac:dyDescent="0.25">
      <c r="A9" t="s">
        <v>144</v>
      </c>
      <c r="B9" s="7">
        <f>SUMIFS(Операции!$E:$E,Операции!$B:$B,"Расход",Операции!$D:$D,"Сервисы под конкретный проект",Операции!$A:$A,"&gt;="&amp;DATE(2026,1,1),Операции!$A:$A,"&lt;="&amp;EOMONTH(DATE(2026,1,1),0))</f>
        <v>0</v>
      </c>
      <c r="C9" s="7">
        <f>SUMIFS(Операции!$E:$E,Операции!$B:$B,"Расход",Операции!$D:$D,"Сервисы под конкретный проект",Операции!$A:$A,"&gt;="&amp;DATE(2026,2,1),Операции!$A:$A,"&lt;="&amp;EOMONTH(DATE(2026,2,1),0))</f>
        <v>0</v>
      </c>
      <c r="D9" s="7">
        <f>SUMIFS(Операции!$E:$E,Операции!$B:$B,"Расход",Операции!$D:$D,"Сервисы под конкретный проект",Операции!$A:$A,"&gt;="&amp;DATE(2026,3,1),Операции!$A:$A,"&lt;="&amp;EOMONTH(DATE(2026,3,1),0))</f>
        <v>18000</v>
      </c>
      <c r="E9" s="7">
        <f>SUMIFS(Операции!$E:$E,Операции!$B:$B,"Расход",Операции!$D:$D,"Сервисы под конкретный проект",Операции!$A:$A,"&gt;="&amp;DATE(2026,4,1),Операции!$A:$A,"&lt;="&amp;EOMONTH(DATE(2026,4,1),0))</f>
        <v>0</v>
      </c>
      <c r="F9" s="7">
        <f>SUMIFS(Операции!$E:$E,Операции!$B:$B,"Расход",Операции!$D:$D,"Сервисы под конкретный проект",Операции!$A:$A,"&gt;="&amp;DATE(2026,5,1),Операции!$A:$A,"&lt;="&amp;EOMONTH(DATE(2026,5,1),0))</f>
        <v>0</v>
      </c>
      <c r="G9" s="7">
        <f>SUMIFS(Операции!$E:$E,Операции!$B:$B,"Расход",Операции!$D:$D,"Сервисы под конкретный проект",Операции!$A:$A,"&gt;="&amp;DATE(2026,6,1),Операции!$A:$A,"&lt;="&amp;EOMONTH(DATE(2026,6,1),0))</f>
        <v>0</v>
      </c>
      <c r="H9" s="7">
        <f>SUMIFS(Операции!$E:$E,Операции!$B:$B,"Расход",Операции!$D:$D,"Сервисы под конкретный проект",Операции!$A:$A,"&gt;="&amp;DATE(2026,7,1),Операции!$A:$A,"&lt;="&amp;EOMONTH(DATE(2026,7,1),0))</f>
        <v>0</v>
      </c>
      <c r="I9" s="7">
        <f>SUMIFS(Операции!$E:$E,Операции!$B:$B,"Расход",Операции!$D:$D,"Сервисы под конкретный проект",Операции!$A:$A,"&gt;="&amp;DATE(2026,8,1),Операции!$A:$A,"&lt;="&amp;EOMONTH(DATE(2026,8,1),0))</f>
        <v>0</v>
      </c>
      <c r="J9" s="7">
        <f>SUMIFS(Операции!$E:$E,Операции!$B:$B,"Расход",Операции!$D:$D,"Сервисы под конкретный проект",Операции!$A:$A,"&gt;="&amp;DATE(2026,9,1),Операции!$A:$A,"&lt;="&amp;EOMONTH(DATE(2026,9,1),0))</f>
        <v>0</v>
      </c>
      <c r="K9" s="7">
        <f>SUMIFS(Операции!$E:$E,Операции!$B:$B,"Расход",Операции!$D:$D,"Сервисы под конкретный проект",Операции!$A:$A,"&gt;="&amp;DATE(2026,10,1),Операции!$A:$A,"&lt;="&amp;EOMONTH(DATE(2026,10,1),0))</f>
        <v>0</v>
      </c>
      <c r="L9" s="7">
        <f>SUMIFS(Операции!$E:$E,Операции!$B:$B,"Расход",Операции!$D:$D,"Сервисы под конкретный проект",Операции!$A:$A,"&gt;="&amp;DATE(2026,11,1),Операции!$A:$A,"&lt;="&amp;EOMONTH(DATE(2026,11,1),0))</f>
        <v>0</v>
      </c>
      <c r="M9" s="7">
        <f>SUMIFS(Операции!$E:$E,Операции!$B:$B,"Расход",Операции!$D:$D,"Сервисы под конкретный проект",Операции!$A:$A,"&gt;="&amp;DATE(2026,12,1),Операции!$A:$A,"&lt;="&amp;EOMONTH(DATE(2026,12,1),0))</f>
        <v>0</v>
      </c>
      <c r="N9" s="7">
        <f>SUM(B9:M9)</f>
        <v>18000</v>
      </c>
    </row>
    <row r="10" spans="1:14" x14ac:dyDescent="0.25">
      <c r="A10" t="s">
        <v>145</v>
      </c>
      <c r="B10" s="7">
        <f>SUMIFS(Операции!$E:$E,Операции!$B:$B,"Расход",Операции!$D:$D,"Материалы и закупка",Операции!$A:$A,"&gt;="&amp;DATE(2026,1,1),Операции!$A:$A,"&lt;="&amp;EOMONTH(DATE(2026,1,1),0))</f>
        <v>0</v>
      </c>
      <c r="C10" s="7">
        <f>SUMIFS(Операции!$E:$E,Операции!$B:$B,"Расход",Операции!$D:$D,"Материалы и закупка",Операции!$A:$A,"&gt;="&amp;DATE(2026,2,1),Операции!$A:$A,"&lt;="&amp;EOMONTH(DATE(2026,2,1),0))</f>
        <v>0</v>
      </c>
      <c r="D10" s="7">
        <f>SUMIFS(Операции!$E:$E,Операции!$B:$B,"Расход",Операции!$D:$D,"Материалы и закупка",Операции!$A:$A,"&gt;="&amp;DATE(2026,3,1),Операции!$A:$A,"&lt;="&amp;EOMONTH(DATE(2026,3,1),0))</f>
        <v>0</v>
      </c>
      <c r="E10" s="7">
        <f>SUMIFS(Операции!$E:$E,Операции!$B:$B,"Расход",Операции!$D:$D,"Материалы и закупка",Операции!$A:$A,"&gt;="&amp;DATE(2026,4,1),Операции!$A:$A,"&lt;="&amp;EOMONTH(DATE(2026,4,1),0))</f>
        <v>0</v>
      </c>
      <c r="F10" s="7">
        <f>SUMIFS(Операции!$E:$E,Операции!$B:$B,"Расход",Операции!$D:$D,"Материалы и закупка",Операции!$A:$A,"&gt;="&amp;DATE(2026,5,1),Операции!$A:$A,"&lt;="&amp;EOMONTH(DATE(2026,5,1),0))</f>
        <v>0</v>
      </c>
      <c r="G10" s="7">
        <f>SUMIFS(Операции!$E:$E,Операции!$B:$B,"Расход",Операции!$D:$D,"Материалы и закупка",Операции!$A:$A,"&gt;="&amp;DATE(2026,6,1),Операции!$A:$A,"&lt;="&amp;EOMONTH(DATE(2026,6,1),0))</f>
        <v>0</v>
      </c>
      <c r="H10" s="7">
        <f>SUMIFS(Операции!$E:$E,Операции!$B:$B,"Расход",Операции!$D:$D,"Материалы и закупка",Операции!$A:$A,"&gt;="&amp;DATE(2026,7,1),Операции!$A:$A,"&lt;="&amp;EOMONTH(DATE(2026,7,1),0))</f>
        <v>0</v>
      </c>
      <c r="I10" s="7">
        <f>SUMIFS(Операции!$E:$E,Операции!$B:$B,"Расход",Операции!$D:$D,"Материалы и закупка",Операции!$A:$A,"&gt;="&amp;DATE(2026,8,1),Операции!$A:$A,"&lt;="&amp;EOMONTH(DATE(2026,8,1),0))</f>
        <v>0</v>
      </c>
      <c r="J10" s="7">
        <f>SUMIFS(Операции!$E:$E,Операции!$B:$B,"Расход",Операции!$D:$D,"Материалы и закупка",Операции!$A:$A,"&gt;="&amp;DATE(2026,9,1),Операции!$A:$A,"&lt;="&amp;EOMONTH(DATE(2026,9,1),0))</f>
        <v>0</v>
      </c>
      <c r="K10" s="7">
        <f>SUMIFS(Операции!$E:$E,Операции!$B:$B,"Расход",Операции!$D:$D,"Материалы и закупка",Операции!$A:$A,"&gt;="&amp;DATE(2026,10,1),Операции!$A:$A,"&lt;="&amp;EOMONTH(DATE(2026,10,1),0))</f>
        <v>0</v>
      </c>
      <c r="L10" s="7">
        <f>SUMIFS(Операции!$E:$E,Операции!$B:$B,"Расход",Операции!$D:$D,"Материалы и закупка",Операции!$A:$A,"&gt;="&amp;DATE(2026,11,1),Операции!$A:$A,"&lt;="&amp;EOMONTH(DATE(2026,11,1),0))</f>
        <v>0</v>
      </c>
      <c r="M10" s="7">
        <f>SUMIFS(Операции!$E:$E,Операции!$B:$B,"Расход",Операции!$D:$D,"Материалы и закупка",Операции!$A:$A,"&gt;="&amp;DATE(2026,12,1),Операции!$A:$A,"&lt;="&amp;EOMONTH(DATE(2026,12,1),0))</f>
        <v>0</v>
      </c>
      <c r="N10" s="7">
        <f>SUM(B10:M10)</f>
        <v>0</v>
      </c>
    </row>
    <row r="11" spans="1:14" s="3" customFormat="1" x14ac:dyDescent="0.25">
      <c r="A11" s="10" t="s">
        <v>146</v>
      </c>
      <c r="B11" s="11">
        <f>B2-B6</f>
        <v>700000</v>
      </c>
      <c r="C11" s="11">
        <f>C2-C6</f>
        <v>815000</v>
      </c>
      <c r="D11" s="11">
        <f>D2-D6</f>
        <v>912000</v>
      </c>
      <c r="E11" s="11">
        <f>E2-E6</f>
        <v>0</v>
      </c>
      <c r="F11" s="11">
        <f>F2-F6</f>
        <v>0</v>
      </c>
      <c r="G11" s="11">
        <f>G2-G6</f>
        <v>0</v>
      </c>
      <c r="H11" s="11">
        <f>H2-H6</f>
        <v>0</v>
      </c>
      <c r="I11" s="11">
        <f>I2-I6</f>
        <v>0</v>
      </c>
      <c r="J11" s="11">
        <f>J2-J6</f>
        <v>0</v>
      </c>
      <c r="K11" s="11">
        <f>K2-K6</f>
        <v>0</v>
      </c>
      <c r="L11" s="11">
        <f>L2-L6</f>
        <v>0</v>
      </c>
      <c r="M11" s="11">
        <f>M2-M6</f>
        <v>0</v>
      </c>
      <c r="N11" s="11">
        <f>SUM(B11:M11)</f>
        <v>2427000</v>
      </c>
    </row>
    <row r="12" spans="1:14" x14ac:dyDescent="0.25">
      <c r="A12" t="s">
        <v>147</v>
      </c>
      <c r="B12" s="12">
        <f>IF(B2=0,"",B11/B2)</f>
        <v>0.6666666666666666</v>
      </c>
      <c r="C12" s="12">
        <f>IF(C2=0,"",C11/C2)</f>
        <v>0.652</v>
      </c>
      <c r="D12" s="12">
        <f>IF(D2=0,"",D11/D2)</f>
        <v>0.6514285714285715</v>
      </c>
      <c r="E12" s="12" t="str">
        <f>IF(E2=0,"",E11/E2)</f>
        <v/>
      </c>
      <c r="F12" s="12" t="str">
        <f>IF(F2=0,"",F11/F2)</f>
        <v/>
      </c>
      <c r="G12" s="12" t="str">
        <f>IF(G2=0,"",G11/G2)</f>
        <v/>
      </c>
      <c r="H12" s="12" t="str">
        <f>IF(H2=0,"",H11/H2)</f>
        <v/>
      </c>
      <c r="I12" s="12" t="str">
        <f>IF(I2=0,"",I11/I2)</f>
        <v/>
      </c>
      <c r="J12" s="12" t="str">
        <f>IF(J2=0,"",J11/J2)</f>
        <v/>
      </c>
      <c r="K12" s="12" t="str">
        <f>IF(K2=0,"",K11/K2)</f>
        <v/>
      </c>
      <c r="L12" s="12" t="str">
        <f>IF(L2=0,"",L11/L2)</f>
        <v/>
      </c>
      <c r="M12" s="12" t="str">
        <f>IF(M2=0,"",M11/M2)</f>
        <v/>
      </c>
      <c r="N12" s="12">
        <f>IF(N2=0,"",N12/N2)</f>
        <v>0.6559459459459459</v>
      </c>
    </row>
    <row r="13" spans="1:14" s="3" customFormat="1" x14ac:dyDescent="0.25">
      <c r="A13" s="13" t="s">
        <v>59</v>
      </c>
      <c r="B13" s="14">
        <f>SUMIFS(Операции!$E:$E,Операции!$B:$B,"Расход",Операции!$D:$D,"ФОТ маркетинга",Операции!$A:$A,"&gt;="&amp;DATE(2026,1,1),Операции!$A:$A,"&lt;="&amp;EOMONTH(DATE(2026,1,1),0))+SUMIFS(Операции!$E:$E,Операции!$B:$B,"Расход",Операции!$D:$D,"ФОТ продаж",Операции!$A:$A,"&gt;="&amp;DATE(2026,1,1),Операции!$A:$A,"&lt;="&amp;EOMONTH(DATE(2026,1,1),0))+SUMIFS(Операции!$E:$E,Операции!$B:$B,"Расход",Операции!$D:$D,"ФОТ администрации",Операции!$A:$A,"&gt;="&amp;DATE(2026,1,1),Операции!$A:$A,"&lt;="&amp;EOMONTH(DATE(2026,1,1),0))</f>
        <v>350000</v>
      </c>
      <c r="C13" s="14">
        <f>SUMIFS(Операции!$E:$E,Операции!$B:$B,"Расход",Операции!$D:$D,"ФОТ маркетинга",Операции!$A:$A,"&gt;="&amp;DATE(2026,2,1),Операции!$A:$A,"&lt;="&amp;EOMONTH(DATE(2026,2,1),0))+SUMIFS(Операции!$E:$E,Операции!$B:$B,"Расход",Операции!$D:$D,"ФОТ продаж",Операции!$A:$A,"&gt;="&amp;DATE(2026,2,1),Операции!$A:$A,"&lt;="&amp;EOMONTH(DATE(2026,2,1),0))+SUMIFS(Операции!$E:$E,Операции!$B:$B,"Расход",Операции!$D:$D,"ФОТ администрации",Операции!$A:$A,"&gt;="&amp;DATE(2026,2,1),Операции!$A:$A,"&lt;="&amp;EOMONTH(DATE(2026,2,1),0))</f>
        <v>350000</v>
      </c>
      <c r="D13" s="14">
        <f>SUMIFS(Операции!$E:$E,Операции!$B:$B,"Расход",Операции!$D:$D,"ФОТ маркетинга",Операции!$A:$A,"&gt;="&amp;DATE(2026,3,1),Операции!$A:$A,"&lt;="&amp;EOMONTH(DATE(2026,3,1),0))+SUMIFS(Операции!$E:$E,Операции!$B:$B,"Расход",Операции!$D:$D,"ФОТ продаж",Операции!$A:$A,"&gt;="&amp;DATE(2026,3,1),Операции!$A:$A,"&lt;="&amp;EOMONTH(DATE(2026,3,1),0))+SUMIFS(Операции!$E:$E,Операции!$B:$B,"Расход",Операции!$D:$D,"ФОТ администрации",Операции!$A:$A,"&gt;="&amp;DATE(2026,3,1),Операции!$A:$A,"&lt;="&amp;EOMONTH(DATE(2026,3,1),0))</f>
        <v>350000</v>
      </c>
      <c r="E13" s="14">
        <f>SUMIFS(Операции!$E:$E,Операции!$B:$B,"Расход",Операции!$D:$D,"ФОТ маркетинга",Операции!$A:$A,"&gt;="&amp;DATE(2026,4,1),Операции!$A:$A,"&lt;="&amp;EOMONTH(DATE(2026,4,1),0))+SUMIFS(Операции!$E:$E,Операции!$B:$B,"Расход",Операции!$D:$D,"ФОТ продаж",Операции!$A:$A,"&gt;="&amp;DATE(2026,4,1),Операции!$A:$A,"&lt;="&amp;EOMONTH(DATE(2026,4,1),0))+SUMIFS(Операции!$E:$E,Операции!$B:$B,"Расход",Операции!$D:$D,"ФОТ администрации",Операции!$A:$A,"&gt;="&amp;DATE(2026,4,1),Операции!$A:$A,"&lt;="&amp;EOMONTH(DATE(2026,4,1),0))</f>
        <v>0</v>
      </c>
      <c r="F13" s="14">
        <f>SUMIFS(Операции!$E:$E,Операции!$B:$B,"Расход",Операции!$D:$D,"ФОТ маркетинга",Операции!$A:$A,"&gt;="&amp;DATE(2026,5,1),Операции!$A:$A,"&lt;="&amp;EOMONTH(DATE(2026,5,1),0))+SUMIFS(Операции!$E:$E,Операции!$B:$B,"Расход",Операции!$D:$D,"ФОТ продаж",Операции!$A:$A,"&gt;="&amp;DATE(2026,5,1),Операции!$A:$A,"&lt;="&amp;EOMONTH(DATE(2026,5,1),0))+SUMIFS(Операции!$E:$E,Операции!$B:$B,"Расход",Операции!$D:$D,"ФОТ администрации",Операции!$A:$A,"&gt;="&amp;DATE(2026,5,1),Операции!$A:$A,"&lt;="&amp;EOMONTH(DATE(2026,5,1),0))</f>
        <v>0</v>
      </c>
      <c r="G13" s="14">
        <f>SUMIFS(Операции!$E:$E,Операции!$B:$B,"Расход",Операции!$D:$D,"ФОТ маркетинга",Операции!$A:$A,"&gt;="&amp;DATE(2026,6,1),Операции!$A:$A,"&lt;="&amp;EOMONTH(DATE(2026,6,1),0))+SUMIFS(Операции!$E:$E,Операции!$B:$B,"Расход",Операции!$D:$D,"ФОТ продаж",Операции!$A:$A,"&gt;="&amp;DATE(2026,6,1),Операции!$A:$A,"&lt;="&amp;EOMONTH(DATE(2026,6,1),0))+SUMIFS(Операции!$E:$E,Операции!$B:$B,"Расход",Операции!$D:$D,"ФОТ администрации",Операции!$A:$A,"&gt;="&amp;DATE(2026,6,1),Операции!$A:$A,"&lt;="&amp;EOMONTH(DATE(2026,6,1),0))</f>
        <v>0</v>
      </c>
      <c r="H13" s="14">
        <f>SUMIFS(Операции!$E:$E,Операции!$B:$B,"Расход",Операции!$D:$D,"ФОТ маркетинга",Операции!$A:$A,"&gt;="&amp;DATE(2026,7,1),Операции!$A:$A,"&lt;="&amp;EOMONTH(DATE(2026,7,1),0))+SUMIFS(Операции!$E:$E,Операции!$B:$B,"Расход",Операции!$D:$D,"ФОТ продаж",Операции!$A:$A,"&gt;="&amp;DATE(2026,7,1),Операции!$A:$A,"&lt;="&amp;EOMONTH(DATE(2026,7,1),0))+SUMIFS(Операции!$E:$E,Операции!$B:$B,"Расход",Операции!$D:$D,"ФОТ администрации",Операции!$A:$A,"&gt;="&amp;DATE(2026,7,1),Операции!$A:$A,"&lt;="&amp;EOMONTH(DATE(2026,7,1),0))</f>
        <v>0</v>
      </c>
      <c r="I13" s="14">
        <f>SUMIFS(Операции!$E:$E,Операции!$B:$B,"Расход",Операции!$D:$D,"ФОТ маркетинга",Операции!$A:$A,"&gt;="&amp;DATE(2026,8,1),Операции!$A:$A,"&lt;="&amp;EOMONTH(DATE(2026,8,1),0))+SUMIFS(Операции!$E:$E,Операции!$B:$B,"Расход",Операции!$D:$D,"ФОТ продаж",Операции!$A:$A,"&gt;="&amp;DATE(2026,8,1),Операции!$A:$A,"&lt;="&amp;EOMONTH(DATE(2026,8,1),0))+SUMIFS(Операции!$E:$E,Операции!$B:$B,"Расход",Операции!$D:$D,"ФОТ администрации",Операции!$A:$A,"&gt;="&amp;DATE(2026,8,1),Операции!$A:$A,"&lt;="&amp;EOMONTH(DATE(2026,8,1),0))</f>
        <v>0</v>
      </c>
      <c r="J13" s="14">
        <f>SUMIFS(Операции!$E:$E,Операции!$B:$B,"Расход",Операции!$D:$D,"ФОТ маркетинга",Операции!$A:$A,"&gt;="&amp;DATE(2026,9,1),Операции!$A:$A,"&lt;="&amp;EOMONTH(DATE(2026,9,1),0))+SUMIFS(Операции!$E:$E,Операции!$B:$B,"Расход",Операции!$D:$D,"ФОТ продаж",Операции!$A:$A,"&gt;="&amp;DATE(2026,9,1),Операции!$A:$A,"&lt;="&amp;EOMONTH(DATE(2026,9,1),0))+SUMIFS(Операции!$E:$E,Операции!$B:$B,"Расход",Операции!$D:$D,"ФОТ администрации",Операции!$A:$A,"&gt;="&amp;DATE(2026,9,1),Операции!$A:$A,"&lt;="&amp;EOMONTH(DATE(2026,9,1),0))</f>
        <v>0</v>
      </c>
      <c r="K13" s="14">
        <f>SUMIFS(Операции!$E:$E,Операции!$B:$B,"Расход",Операции!$D:$D,"ФОТ маркетинга",Операции!$A:$A,"&gt;="&amp;DATE(2026,10,1),Операции!$A:$A,"&lt;="&amp;EOMONTH(DATE(2026,10,1),0))+SUMIFS(Операции!$E:$E,Операции!$B:$B,"Расход",Операции!$D:$D,"ФОТ продаж",Операции!$A:$A,"&gt;="&amp;DATE(2026,10,1),Операции!$A:$A,"&lt;="&amp;EOMONTH(DATE(2026,10,1),0))+SUMIFS(Операции!$E:$E,Операции!$B:$B,"Расход",Операции!$D:$D,"ФОТ администрации",Операции!$A:$A,"&gt;="&amp;DATE(2026,10,1),Операции!$A:$A,"&lt;="&amp;EOMONTH(DATE(2026,10,1),0))</f>
        <v>0</v>
      </c>
      <c r="L13" s="14">
        <f>SUMIFS(Операции!$E:$E,Операции!$B:$B,"Расход",Операции!$D:$D,"ФОТ маркетинга",Операции!$A:$A,"&gt;="&amp;DATE(2026,11,1),Операции!$A:$A,"&lt;="&amp;EOMONTH(DATE(2026,11,1),0))+SUMIFS(Операции!$E:$E,Операции!$B:$B,"Расход",Операции!$D:$D,"ФОТ продаж",Операции!$A:$A,"&gt;="&amp;DATE(2026,11,1),Операции!$A:$A,"&lt;="&amp;EOMONTH(DATE(2026,11,1),0))+SUMIFS(Операции!$E:$E,Операции!$B:$B,"Расход",Операции!$D:$D,"ФОТ администрации",Операции!$A:$A,"&gt;="&amp;DATE(2026,11,1),Операции!$A:$A,"&lt;="&amp;EOMONTH(DATE(2026,11,1),0))</f>
        <v>0</v>
      </c>
      <c r="M13" s="14">
        <f>SUMIFS(Операции!$E:$E,Операции!$B:$B,"Расход",Операции!$D:$D,"ФОТ маркетинга",Операции!$A:$A,"&gt;="&amp;DATE(2026,12,1),Операции!$A:$A,"&lt;="&amp;EOMONTH(DATE(2026,12,1),0))+SUMIFS(Операции!$E:$E,Операции!$B:$B,"Расход",Операции!$D:$D,"ФОТ продаж",Операции!$A:$A,"&gt;="&amp;DATE(2026,12,1),Операции!$A:$A,"&lt;="&amp;EOMONTH(DATE(2026,12,1),0))+SUMIFS(Операции!$E:$E,Операции!$B:$B,"Расход",Операции!$D:$D,"ФОТ администрации",Операции!$A:$A,"&gt;="&amp;DATE(2026,12,1),Операции!$A:$A,"&lt;="&amp;EOMONTH(DATE(2026,12,1),0))</f>
        <v>0</v>
      </c>
      <c r="N13" s="14">
        <f>SUM(B13:M13)</f>
        <v>1050000</v>
      </c>
    </row>
    <row r="14" spans="1:14" x14ac:dyDescent="0.25">
      <c r="A14" t="s">
        <v>148</v>
      </c>
      <c r="B14" s="7">
        <f>SUMIFS(Операции!$E:$E,Операции!$B:$B,"Расход",Операции!$D:$D,"ФОТ маркетинга",Операции!$A:$A,"&gt;="&amp;DATE(2026,1,1),Операции!$A:$A,"&lt;="&amp;EOMONTH(DATE(2026,1,1),0))</f>
        <v>90000</v>
      </c>
      <c r="C14" s="7">
        <f>SUMIFS(Операции!$E:$E,Операции!$B:$B,"Расход",Операции!$D:$D,"ФОТ маркетинга",Операции!$A:$A,"&gt;="&amp;DATE(2026,2,1),Операции!$A:$A,"&lt;="&amp;EOMONTH(DATE(2026,2,1),0))</f>
        <v>90000</v>
      </c>
      <c r="D14" s="7">
        <f>SUMIFS(Операции!$E:$E,Операции!$B:$B,"Расход",Операции!$D:$D,"ФОТ маркетинга",Операции!$A:$A,"&gt;="&amp;DATE(2026,3,1),Операции!$A:$A,"&lt;="&amp;EOMONTH(DATE(2026,3,1),0))</f>
        <v>90000</v>
      </c>
      <c r="E14" s="7">
        <f>SUMIFS(Операции!$E:$E,Операции!$B:$B,"Расход",Операции!$D:$D,"ФОТ маркетинга",Операции!$A:$A,"&gt;="&amp;DATE(2026,4,1),Операции!$A:$A,"&lt;="&amp;EOMONTH(DATE(2026,4,1),0))</f>
        <v>0</v>
      </c>
      <c r="F14" s="7">
        <f>SUMIFS(Операции!$E:$E,Операции!$B:$B,"Расход",Операции!$D:$D,"ФОТ маркетинга",Операции!$A:$A,"&gt;="&amp;DATE(2026,5,1),Операции!$A:$A,"&lt;="&amp;EOMONTH(DATE(2026,5,1),0))</f>
        <v>0</v>
      </c>
      <c r="G14" s="7">
        <f>SUMIFS(Операции!$E:$E,Операции!$B:$B,"Расход",Операции!$D:$D,"ФОТ маркетинга",Операции!$A:$A,"&gt;="&amp;DATE(2026,6,1),Операции!$A:$A,"&lt;="&amp;EOMONTH(DATE(2026,6,1),0))</f>
        <v>0</v>
      </c>
      <c r="H14" s="7">
        <f>SUMIFS(Операции!$E:$E,Операции!$B:$B,"Расход",Операции!$D:$D,"ФОТ маркетинга",Операции!$A:$A,"&gt;="&amp;DATE(2026,7,1),Операции!$A:$A,"&lt;="&amp;EOMONTH(DATE(2026,7,1),0))</f>
        <v>0</v>
      </c>
      <c r="I14" s="7">
        <f>SUMIFS(Операции!$E:$E,Операции!$B:$B,"Расход",Операции!$D:$D,"ФОТ маркетинга",Операции!$A:$A,"&gt;="&amp;DATE(2026,8,1),Операции!$A:$A,"&lt;="&amp;EOMONTH(DATE(2026,8,1),0))</f>
        <v>0</v>
      </c>
      <c r="J14" s="7">
        <f>SUMIFS(Операции!$E:$E,Операции!$B:$B,"Расход",Операции!$D:$D,"ФОТ маркетинга",Операции!$A:$A,"&gt;="&amp;DATE(2026,9,1),Операции!$A:$A,"&lt;="&amp;EOMONTH(DATE(2026,9,1),0))</f>
        <v>0</v>
      </c>
      <c r="K14" s="7">
        <f>SUMIFS(Операции!$E:$E,Операции!$B:$B,"Расход",Операции!$D:$D,"ФОТ маркетинга",Операции!$A:$A,"&gt;="&amp;DATE(2026,10,1),Операции!$A:$A,"&lt;="&amp;EOMONTH(DATE(2026,10,1),0))</f>
        <v>0</v>
      </c>
      <c r="L14" s="7">
        <f>SUMIFS(Операции!$E:$E,Операции!$B:$B,"Расход",Операции!$D:$D,"ФОТ маркетинга",Операции!$A:$A,"&gt;="&amp;DATE(2026,11,1),Операции!$A:$A,"&lt;="&amp;EOMONTH(DATE(2026,11,1),0))</f>
        <v>0</v>
      </c>
      <c r="M14" s="7">
        <f>SUMIFS(Операции!$E:$E,Операции!$B:$B,"Расход",Операции!$D:$D,"ФОТ маркетинга",Операции!$A:$A,"&gt;="&amp;DATE(2026,12,1),Операции!$A:$A,"&lt;="&amp;EOMONTH(DATE(2026,12,1),0))</f>
        <v>0</v>
      </c>
      <c r="N14" s="7">
        <f>SUM(B14:M14)</f>
        <v>270000</v>
      </c>
    </row>
    <row r="15" spans="1:14" x14ac:dyDescent="0.25">
      <c r="A15" t="s">
        <v>149</v>
      </c>
      <c r="B15" s="7">
        <f>SUMIFS(Операции!$E:$E,Операции!$B:$B,"Расход",Операции!$D:$D,"ФОТ продаж",Операции!$A:$A,"&gt;="&amp;DATE(2026,1,1),Операции!$A:$A,"&lt;="&amp;EOMONTH(DATE(2026,1,1),0))</f>
        <v>110000</v>
      </c>
      <c r="C15" s="7">
        <f>SUMIFS(Операции!$E:$E,Операции!$B:$B,"Расход",Операции!$D:$D,"ФОТ продаж",Операции!$A:$A,"&gt;="&amp;DATE(2026,2,1),Операции!$A:$A,"&lt;="&amp;EOMONTH(DATE(2026,2,1),0))</f>
        <v>110000</v>
      </c>
      <c r="D15" s="7">
        <f>SUMIFS(Операции!$E:$E,Операции!$B:$B,"Расход",Операции!$D:$D,"ФОТ продаж",Операции!$A:$A,"&gt;="&amp;DATE(2026,3,1),Операции!$A:$A,"&lt;="&amp;EOMONTH(DATE(2026,3,1),0))</f>
        <v>110000</v>
      </c>
      <c r="E15" s="7">
        <f>SUMIFS(Операции!$E:$E,Операции!$B:$B,"Расход",Операции!$D:$D,"ФОТ продаж",Операции!$A:$A,"&gt;="&amp;DATE(2026,4,1),Операции!$A:$A,"&lt;="&amp;EOMONTH(DATE(2026,4,1),0))</f>
        <v>0</v>
      </c>
      <c r="F15" s="7">
        <f>SUMIFS(Операции!$E:$E,Операции!$B:$B,"Расход",Операции!$D:$D,"ФОТ продаж",Операции!$A:$A,"&gt;="&amp;DATE(2026,5,1),Операции!$A:$A,"&lt;="&amp;EOMONTH(DATE(2026,5,1),0))</f>
        <v>0</v>
      </c>
      <c r="G15" s="7">
        <f>SUMIFS(Операции!$E:$E,Операции!$B:$B,"Расход",Операции!$D:$D,"ФОТ продаж",Операции!$A:$A,"&gt;="&amp;DATE(2026,6,1),Операции!$A:$A,"&lt;="&amp;EOMONTH(DATE(2026,6,1),0))</f>
        <v>0</v>
      </c>
      <c r="H15" s="7">
        <f>SUMIFS(Операции!$E:$E,Операции!$B:$B,"Расход",Операции!$D:$D,"ФОТ продаж",Операции!$A:$A,"&gt;="&amp;DATE(2026,7,1),Операции!$A:$A,"&lt;="&amp;EOMONTH(DATE(2026,7,1),0))</f>
        <v>0</v>
      </c>
      <c r="I15" s="7">
        <f>SUMIFS(Операции!$E:$E,Операции!$B:$B,"Расход",Операции!$D:$D,"ФОТ продаж",Операции!$A:$A,"&gt;="&amp;DATE(2026,8,1),Операции!$A:$A,"&lt;="&amp;EOMONTH(DATE(2026,8,1),0))</f>
        <v>0</v>
      </c>
      <c r="J15" s="7">
        <f>SUMIFS(Операции!$E:$E,Операции!$B:$B,"Расход",Операции!$D:$D,"ФОТ продаж",Операции!$A:$A,"&gt;="&amp;DATE(2026,9,1),Операции!$A:$A,"&lt;="&amp;EOMONTH(DATE(2026,9,1),0))</f>
        <v>0</v>
      </c>
      <c r="K15" s="7">
        <f>SUMIFS(Операции!$E:$E,Операции!$B:$B,"Расход",Операции!$D:$D,"ФОТ продаж",Операции!$A:$A,"&gt;="&amp;DATE(2026,10,1),Операции!$A:$A,"&lt;="&amp;EOMONTH(DATE(2026,10,1),0))</f>
        <v>0</v>
      </c>
      <c r="L15" s="7">
        <f>SUMIFS(Операции!$E:$E,Операции!$B:$B,"Расход",Операции!$D:$D,"ФОТ продаж",Операции!$A:$A,"&gt;="&amp;DATE(2026,11,1),Операции!$A:$A,"&lt;="&amp;EOMONTH(DATE(2026,11,1),0))</f>
        <v>0</v>
      </c>
      <c r="M15" s="7">
        <f>SUMIFS(Операции!$E:$E,Операции!$B:$B,"Расход",Операции!$D:$D,"ФОТ продаж",Операции!$A:$A,"&gt;="&amp;DATE(2026,12,1),Операции!$A:$A,"&lt;="&amp;EOMONTH(DATE(2026,12,1),0))</f>
        <v>0</v>
      </c>
      <c r="N15" s="7">
        <f>SUM(B15:M15)</f>
        <v>330000</v>
      </c>
    </row>
    <row r="16" spans="1:14" x14ac:dyDescent="0.25">
      <c r="A16" t="s">
        <v>150</v>
      </c>
      <c r="B16" s="7">
        <f>SUMIFS(Операции!$E:$E,Операции!$B:$B,"Расход",Операции!$D:$D,"ФОТ администрации",Операции!$A:$A,"&gt;="&amp;DATE(2026,1,1),Операции!$A:$A,"&lt;="&amp;EOMONTH(DATE(2026,1,1),0))</f>
        <v>150000</v>
      </c>
      <c r="C16" s="7">
        <f>SUMIFS(Операции!$E:$E,Операции!$B:$B,"Расход",Операции!$D:$D,"ФОТ администрации",Операции!$A:$A,"&gt;="&amp;DATE(2026,2,1),Операции!$A:$A,"&lt;="&amp;EOMONTH(DATE(2026,2,1),0))</f>
        <v>150000</v>
      </c>
      <c r="D16" s="7">
        <f>SUMIFS(Операции!$E:$E,Операции!$B:$B,"Расход",Операции!$D:$D,"ФОТ администрации",Операции!$A:$A,"&gt;="&amp;DATE(2026,3,1),Операции!$A:$A,"&lt;="&amp;EOMONTH(DATE(2026,3,1),0))</f>
        <v>150000</v>
      </c>
      <c r="E16" s="7">
        <f>SUMIFS(Операции!$E:$E,Операции!$B:$B,"Расход",Операции!$D:$D,"ФОТ администрации",Операции!$A:$A,"&gt;="&amp;DATE(2026,4,1),Операции!$A:$A,"&lt;="&amp;EOMONTH(DATE(2026,4,1),0))</f>
        <v>0</v>
      </c>
      <c r="F16" s="7">
        <f>SUMIFS(Операции!$E:$E,Операции!$B:$B,"Расход",Операции!$D:$D,"ФОТ администрации",Операции!$A:$A,"&gt;="&amp;DATE(2026,5,1),Операции!$A:$A,"&lt;="&amp;EOMONTH(DATE(2026,5,1),0))</f>
        <v>0</v>
      </c>
      <c r="G16" s="7">
        <f>SUMIFS(Операции!$E:$E,Операции!$B:$B,"Расход",Операции!$D:$D,"ФОТ администрации",Операции!$A:$A,"&gt;="&amp;DATE(2026,6,1),Операции!$A:$A,"&lt;="&amp;EOMONTH(DATE(2026,6,1),0))</f>
        <v>0</v>
      </c>
      <c r="H16" s="7">
        <f>SUMIFS(Операции!$E:$E,Операции!$B:$B,"Расход",Операции!$D:$D,"ФОТ администрации",Операции!$A:$A,"&gt;="&amp;DATE(2026,7,1),Операции!$A:$A,"&lt;="&amp;EOMONTH(DATE(2026,7,1),0))</f>
        <v>0</v>
      </c>
      <c r="I16" s="7">
        <f>SUMIFS(Операции!$E:$E,Операции!$B:$B,"Расход",Операции!$D:$D,"ФОТ администрации",Операции!$A:$A,"&gt;="&amp;DATE(2026,8,1),Операции!$A:$A,"&lt;="&amp;EOMONTH(DATE(2026,8,1),0))</f>
        <v>0</v>
      </c>
      <c r="J16" s="7">
        <f>SUMIFS(Операции!$E:$E,Операции!$B:$B,"Расход",Операции!$D:$D,"ФОТ администрации",Операции!$A:$A,"&gt;="&amp;DATE(2026,9,1),Операции!$A:$A,"&lt;="&amp;EOMONTH(DATE(2026,9,1),0))</f>
        <v>0</v>
      </c>
      <c r="K16" s="7">
        <f>SUMIFS(Операции!$E:$E,Операции!$B:$B,"Расход",Операции!$D:$D,"ФОТ администрации",Операции!$A:$A,"&gt;="&amp;DATE(2026,10,1),Операции!$A:$A,"&lt;="&amp;EOMONTH(DATE(2026,10,1),0))</f>
        <v>0</v>
      </c>
      <c r="L16" s="7">
        <f>SUMIFS(Операции!$E:$E,Операции!$B:$B,"Расход",Операции!$D:$D,"ФОТ администрации",Операции!$A:$A,"&gt;="&amp;DATE(2026,11,1),Операции!$A:$A,"&lt;="&amp;EOMONTH(DATE(2026,11,1),0))</f>
        <v>0</v>
      </c>
      <c r="M16" s="7">
        <f>SUMIFS(Операции!$E:$E,Операции!$B:$B,"Расход",Операции!$D:$D,"ФОТ администрации",Операции!$A:$A,"&gt;="&amp;DATE(2026,12,1),Операции!$A:$A,"&lt;="&amp;EOMONTH(DATE(2026,12,1),0))</f>
        <v>0</v>
      </c>
      <c r="N16" s="7">
        <f>SUM(B16:M16)</f>
        <v>450000</v>
      </c>
    </row>
    <row r="17" spans="1:14" s="3" customFormat="1" x14ac:dyDescent="0.25">
      <c r="A17" s="13" t="s">
        <v>151</v>
      </c>
      <c r="B17" s="14">
        <f>SUMIFS(Операции!$E:$E,Операции!$B:$B,"Расход",Операции!$D:$D,"Рекламные бюджеты",Операции!$A:$A,"&gt;="&amp;DATE(2026,1,1),Операции!$A:$A,"&lt;="&amp;EOMONTH(DATE(2026,1,1),0))+SUMIFS(Операции!$E:$E,Операции!$B:$B,"Расход",Операции!$D:$D,"Подрядчики маркетинга",Операции!$A:$A,"&gt;="&amp;DATE(2026,1,1),Операции!$A:$A,"&lt;="&amp;EOMONTH(DATE(2026,1,1),0))+SUMIFS(Операции!$E:$E,Операции!$B:$B,"Расход",Операции!$D:$D,"Контент и продакшн",Операции!$A:$A,"&gt;="&amp;DATE(2026,1,1),Операции!$A:$A,"&lt;="&amp;EOMONTH(DATE(2026,1,1),0))</f>
        <v>90000</v>
      </c>
      <c r="C17" s="14">
        <f>SUMIFS(Операции!$E:$E,Операции!$B:$B,"Расход",Операции!$D:$D,"Рекламные бюджеты",Операции!$A:$A,"&gt;="&amp;DATE(2026,2,1),Операции!$A:$A,"&lt;="&amp;EOMONTH(DATE(2026,2,1),0))+SUMIFS(Операции!$E:$E,Операции!$B:$B,"Расход",Операции!$D:$D,"Подрядчики маркетинга",Операции!$A:$A,"&gt;="&amp;DATE(2026,2,1),Операции!$A:$A,"&lt;="&amp;EOMONTH(DATE(2026,2,1),0))+SUMIFS(Операции!$E:$E,Операции!$B:$B,"Расход",Операции!$D:$D,"Контент и продакшн",Операции!$A:$A,"&gt;="&amp;DATE(2026,2,1),Операции!$A:$A,"&lt;="&amp;EOMONTH(DATE(2026,2,1),0))</f>
        <v>140000</v>
      </c>
      <c r="D17" s="14">
        <f>SUMIFS(Операции!$E:$E,Операции!$B:$B,"Расход",Операции!$D:$D,"Рекламные бюджеты",Операции!$A:$A,"&gt;="&amp;DATE(2026,3,1),Операции!$A:$A,"&lt;="&amp;EOMONTH(DATE(2026,3,1),0))+SUMIFS(Операции!$E:$E,Операции!$B:$B,"Расход",Операции!$D:$D,"Подрядчики маркетинга",Операции!$A:$A,"&gt;="&amp;DATE(2026,3,1),Операции!$A:$A,"&lt;="&amp;EOMONTH(DATE(2026,3,1),0))+SUMIFS(Операции!$E:$E,Операции!$B:$B,"Расход",Операции!$D:$D,"Контент и продакшн",Операции!$A:$A,"&gt;="&amp;DATE(2026,3,1),Операции!$A:$A,"&lt;="&amp;EOMONTH(DATE(2026,3,1),0))</f>
        <v>205000</v>
      </c>
      <c r="E17" s="14">
        <f>SUMIFS(Операции!$E:$E,Операции!$B:$B,"Расход",Операции!$D:$D,"Рекламные бюджеты",Операции!$A:$A,"&gt;="&amp;DATE(2026,4,1),Операции!$A:$A,"&lt;="&amp;EOMONTH(DATE(2026,4,1),0))+SUMIFS(Операции!$E:$E,Операции!$B:$B,"Расход",Операции!$D:$D,"Подрядчики маркетинга",Операции!$A:$A,"&gt;="&amp;DATE(2026,4,1),Операции!$A:$A,"&lt;="&amp;EOMONTH(DATE(2026,4,1),0))+SUMIFS(Операции!$E:$E,Операции!$B:$B,"Расход",Операции!$D:$D,"Контент и продакшн",Операции!$A:$A,"&gt;="&amp;DATE(2026,4,1),Операции!$A:$A,"&lt;="&amp;EOMONTH(DATE(2026,4,1),0))</f>
        <v>0</v>
      </c>
      <c r="F17" s="14">
        <f>SUMIFS(Операции!$E:$E,Операции!$B:$B,"Расход",Операции!$D:$D,"Рекламные бюджеты",Операции!$A:$A,"&gt;="&amp;DATE(2026,5,1),Операции!$A:$A,"&lt;="&amp;EOMONTH(DATE(2026,5,1),0))+SUMIFS(Операции!$E:$E,Операции!$B:$B,"Расход",Операции!$D:$D,"Подрядчики маркетинга",Операции!$A:$A,"&gt;="&amp;DATE(2026,5,1),Операции!$A:$A,"&lt;="&amp;EOMONTH(DATE(2026,5,1),0))+SUMIFS(Операции!$E:$E,Операции!$B:$B,"Расход",Операции!$D:$D,"Контент и продакшн",Операции!$A:$A,"&gt;="&amp;DATE(2026,5,1),Операции!$A:$A,"&lt;="&amp;EOMONTH(DATE(2026,5,1),0))</f>
        <v>0</v>
      </c>
      <c r="G17" s="14">
        <f>SUMIFS(Операции!$E:$E,Операции!$B:$B,"Расход",Операции!$D:$D,"Рекламные бюджеты",Операции!$A:$A,"&gt;="&amp;DATE(2026,6,1),Операции!$A:$A,"&lt;="&amp;EOMONTH(DATE(2026,6,1),0))+SUMIFS(Операции!$E:$E,Операции!$B:$B,"Расход",Операции!$D:$D,"Подрядчики маркетинга",Операции!$A:$A,"&gt;="&amp;DATE(2026,6,1),Операции!$A:$A,"&lt;="&amp;EOMONTH(DATE(2026,6,1),0))+SUMIFS(Операции!$E:$E,Операции!$B:$B,"Расход",Операции!$D:$D,"Контент и продакшн",Операции!$A:$A,"&gt;="&amp;DATE(2026,6,1),Операции!$A:$A,"&lt;="&amp;EOMONTH(DATE(2026,6,1),0))</f>
        <v>0</v>
      </c>
      <c r="H17" s="14">
        <f>SUMIFS(Операции!$E:$E,Операции!$B:$B,"Расход",Операции!$D:$D,"Рекламные бюджеты",Операции!$A:$A,"&gt;="&amp;DATE(2026,7,1),Операции!$A:$A,"&lt;="&amp;EOMONTH(DATE(2026,7,1),0))+SUMIFS(Операции!$E:$E,Операции!$B:$B,"Расход",Операции!$D:$D,"Подрядчики маркетинга",Операции!$A:$A,"&gt;="&amp;DATE(2026,7,1),Операции!$A:$A,"&lt;="&amp;EOMONTH(DATE(2026,7,1),0))+SUMIFS(Операции!$E:$E,Операции!$B:$B,"Расход",Операции!$D:$D,"Контент и продакшн",Операции!$A:$A,"&gt;="&amp;DATE(2026,7,1),Операции!$A:$A,"&lt;="&amp;EOMONTH(DATE(2026,7,1),0))</f>
        <v>0</v>
      </c>
      <c r="I17" s="14">
        <f>SUMIFS(Операции!$E:$E,Операции!$B:$B,"Расход",Операции!$D:$D,"Рекламные бюджеты",Операции!$A:$A,"&gt;="&amp;DATE(2026,8,1),Операции!$A:$A,"&lt;="&amp;EOMONTH(DATE(2026,8,1),0))+SUMIFS(Операции!$E:$E,Операции!$B:$B,"Расход",Операции!$D:$D,"Подрядчики маркетинга",Операции!$A:$A,"&gt;="&amp;DATE(2026,8,1),Операции!$A:$A,"&lt;="&amp;EOMONTH(DATE(2026,8,1),0))+SUMIFS(Операции!$E:$E,Операции!$B:$B,"Расход",Операции!$D:$D,"Контент и продакшн",Операции!$A:$A,"&gt;="&amp;DATE(2026,8,1),Операции!$A:$A,"&lt;="&amp;EOMONTH(DATE(2026,8,1),0))</f>
        <v>0</v>
      </c>
      <c r="J17" s="14">
        <f>SUMIFS(Операции!$E:$E,Операции!$B:$B,"Расход",Операции!$D:$D,"Рекламные бюджеты",Операции!$A:$A,"&gt;="&amp;DATE(2026,9,1),Операции!$A:$A,"&lt;="&amp;EOMONTH(DATE(2026,9,1),0))+SUMIFS(Операции!$E:$E,Операции!$B:$B,"Расход",Операции!$D:$D,"Подрядчики маркетинга",Операции!$A:$A,"&gt;="&amp;DATE(2026,9,1),Операции!$A:$A,"&lt;="&amp;EOMONTH(DATE(2026,9,1),0))+SUMIFS(Операции!$E:$E,Операции!$B:$B,"Расход",Операции!$D:$D,"Контент и продакшн",Операции!$A:$A,"&gt;="&amp;DATE(2026,9,1),Операции!$A:$A,"&lt;="&amp;EOMONTH(DATE(2026,9,1),0))</f>
        <v>0</v>
      </c>
      <c r="K17" s="14">
        <f>SUMIFS(Операции!$E:$E,Операции!$B:$B,"Расход",Операции!$D:$D,"Рекламные бюджеты",Операции!$A:$A,"&gt;="&amp;DATE(2026,10,1),Операции!$A:$A,"&lt;="&amp;EOMONTH(DATE(2026,10,1),0))+SUMIFS(Операции!$E:$E,Операции!$B:$B,"Расход",Операции!$D:$D,"Подрядчики маркетинга",Операции!$A:$A,"&gt;="&amp;DATE(2026,10,1),Операции!$A:$A,"&lt;="&amp;EOMONTH(DATE(2026,10,1),0))+SUMIFS(Операции!$E:$E,Операции!$B:$B,"Расход",Операции!$D:$D,"Контент и продакшн",Операции!$A:$A,"&gt;="&amp;DATE(2026,10,1),Операции!$A:$A,"&lt;="&amp;EOMONTH(DATE(2026,10,1),0))</f>
        <v>0</v>
      </c>
      <c r="L17" s="14">
        <f>SUMIFS(Операции!$E:$E,Операции!$B:$B,"Расход",Операции!$D:$D,"Рекламные бюджеты",Операции!$A:$A,"&gt;="&amp;DATE(2026,11,1),Операции!$A:$A,"&lt;="&amp;EOMONTH(DATE(2026,11,1),0))+SUMIFS(Операции!$E:$E,Операции!$B:$B,"Расход",Операции!$D:$D,"Подрядчики маркетинга",Операции!$A:$A,"&gt;="&amp;DATE(2026,11,1),Операции!$A:$A,"&lt;="&amp;EOMONTH(DATE(2026,11,1),0))+SUMIFS(Операции!$E:$E,Операции!$B:$B,"Расход",Операции!$D:$D,"Контент и продакшн",Операции!$A:$A,"&gt;="&amp;DATE(2026,11,1),Операции!$A:$A,"&lt;="&amp;EOMONTH(DATE(2026,11,1),0))</f>
        <v>0</v>
      </c>
      <c r="M17" s="14">
        <f>SUMIFS(Операции!$E:$E,Операции!$B:$B,"Расход",Операции!$D:$D,"Рекламные бюджеты",Операции!$A:$A,"&gt;="&amp;DATE(2026,12,1),Операции!$A:$A,"&lt;="&amp;EOMONTH(DATE(2026,12,1),0))+SUMIFS(Операции!$E:$E,Операции!$B:$B,"Расход",Операции!$D:$D,"Подрядчики маркетинга",Операции!$A:$A,"&gt;="&amp;DATE(2026,12,1),Операции!$A:$A,"&lt;="&amp;EOMONTH(DATE(2026,12,1),0))+SUMIFS(Операции!$E:$E,Операции!$B:$B,"Расход",Операции!$D:$D,"Контент и продакшн",Операции!$A:$A,"&gt;="&amp;DATE(2026,12,1),Операции!$A:$A,"&lt;="&amp;EOMONTH(DATE(2026,12,1),0))</f>
        <v>0</v>
      </c>
      <c r="N17" s="14">
        <f>SUM(B17:M17)</f>
        <v>435000</v>
      </c>
    </row>
    <row r="18" spans="1:14" x14ac:dyDescent="0.25">
      <c r="A18" t="s">
        <v>152</v>
      </c>
      <c r="B18" s="7">
        <f>SUMIFS(Операции!$E:$E,Операции!$B:$B,"Расход",Операции!$D:$D,"Рекламные бюджеты",Операции!$A:$A,"&gt;="&amp;DATE(2026,1,1),Операции!$A:$A,"&lt;="&amp;EOMONTH(DATE(2026,1,1),0))</f>
        <v>90000</v>
      </c>
      <c r="C18" s="7">
        <f>SUMIFS(Операции!$E:$E,Операции!$B:$B,"Расход",Операции!$D:$D,"Рекламные бюджеты",Операции!$A:$A,"&gt;="&amp;DATE(2026,2,1),Операции!$A:$A,"&lt;="&amp;EOMONTH(DATE(2026,2,1),0))</f>
        <v>140000</v>
      </c>
      <c r="D18" s="7">
        <f>SUMIFS(Операции!$E:$E,Операции!$B:$B,"Расход",Операции!$D:$D,"Рекламные бюджеты",Операции!$A:$A,"&gt;="&amp;DATE(2026,3,1),Операции!$A:$A,"&lt;="&amp;EOMONTH(DATE(2026,3,1),0))</f>
        <v>160000</v>
      </c>
      <c r="E18" s="7">
        <f>SUMIFS(Операции!$E:$E,Операции!$B:$B,"Расход",Операции!$D:$D,"Рекламные бюджеты",Операции!$A:$A,"&gt;="&amp;DATE(2026,4,1),Операции!$A:$A,"&lt;="&amp;EOMONTH(DATE(2026,4,1),0))</f>
        <v>0</v>
      </c>
      <c r="F18" s="7">
        <f>SUMIFS(Операции!$E:$E,Операции!$B:$B,"Расход",Операции!$D:$D,"Рекламные бюджеты",Операции!$A:$A,"&gt;="&amp;DATE(2026,5,1),Операции!$A:$A,"&lt;="&amp;EOMONTH(DATE(2026,5,1),0))</f>
        <v>0</v>
      </c>
      <c r="G18" s="7">
        <f>SUMIFS(Операции!$E:$E,Операции!$B:$B,"Расход",Операции!$D:$D,"Рекламные бюджеты",Операции!$A:$A,"&gt;="&amp;DATE(2026,6,1),Операции!$A:$A,"&lt;="&amp;EOMONTH(DATE(2026,6,1),0))</f>
        <v>0</v>
      </c>
      <c r="H18" s="7">
        <f>SUMIFS(Операции!$E:$E,Операции!$B:$B,"Расход",Операции!$D:$D,"Рекламные бюджеты",Операции!$A:$A,"&gt;="&amp;DATE(2026,7,1),Операции!$A:$A,"&lt;="&amp;EOMONTH(DATE(2026,7,1),0))</f>
        <v>0</v>
      </c>
      <c r="I18" s="7">
        <f>SUMIFS(Операции!$E:$E,Операции!$B:$B,"Расход",Операции!$D:$D,"Рекламные бюджеты",Операции!$A:$A,"&gt;="&amp;DATE(2026,8,1),Операции!$A:$A,"&lt;="&amp;EOMONTH(DATE(2026,8,1),0))</f>
        <v>0</v>
      </c>
      <c r="J18" s="7">
        <f>SUMIFS(Операции!$E:$E,Операции!$B:$B,"Расход",Операции!$D:$D,"Рекламные бюджеты",Операции!$A:$A,"&gt;="&amp;DATE(2026,9,1),Операции!$A:$A,"&lt;="&amp;EOMONTH(DATE(2026,9,1),0))</f>
        <v>0</v>
      </c>
      <c r="K18" s="7">
        <f>SUMIFS(Операции!$E:$E,Операции!$B:$B,"Расход",Операции!$D:$D,"Рекламные бюджеты",Операции!$A:$A,"&gt;="&amp;DATE(2026,10,1),Операции!$A:$A,"&lt;="&amp;EOMONTH(DATE(2026,10,1),0))</f>
        <v>0</v>
      </c>
      <c r="L18" s="7">
        <f>SUMIFS(Операции!$E:$E,Операции!$B:$B,"Расход",Операции!$D:$D,"Рекламные бюджеты",Операции!$A:$A,"&gt;="&amp;DATE(2026,11,1),Операции!$A:$A,"&lt;="&amp;EOMONTH(DATE(2026,11,1),0))</f>
        <v>0</v>
      </c>
      <c r="M18" s="7">
        <f>SUMIFS(Операции!$E:$E,Операции!$B:$B,"Расход",Операции!$D:$D,"Рекламные бюджеты",Операции!$A:$A,"&gt;="&amp;DATE(2026,12,1),Операции!$A:$A,"&lt;="&amp;EOMONTH(DATE(2026,12,1),0))</f>
        <v>0</v>
      </c>
      <c r="N18" s="7">
        <f>SUM(B18:M18)</f>
        <v>390000</v>
      </c>
    </row>
    <row r="19" spans="1:14" x14ac:dyDescent="0.25">
      <c r="A19" t="s">
        <v>153</v>
      </c>
      <c r="B19" s="7">
        <f>SUMIFS(Операции!$E:$E,Операции!$B:$B,"Расход",Операции!$D:$D,"Подрядчики маркетинга",Операции!$A:$A,"&gt;="&amp;DATE(2026,1,1),Операции!$A:$A,"&lt;="&amp;EOMONTH(DATE(2026,1,1),0))</f>
        <v>0</v>
      </c>
      <c r="C19" s="7">
        <f>SUMIFS(Операции!$E:$E,Операции!$B:$B,"Расход",Операции!$D:$D,"Подрядчики маркетинга",Операции!$A:$A,"&gt;="&amp;DATE(2026,2,1),Операции!$A:$A,"&lt;="&amp;EOMONTH(DATE(2026,2,1),0))</f>
        <v>0</v>
      </c>
      <c r="D19" s="7">
        <f>SUMIFS(Операции!$E:$E,Операции!$B:$B,"Расход",Операции!$D:$D,"Подрядчики маркетинга",Операции!$A:$A,"&gt;="&amp;DATE(2026,3,1),Операции!$A:$A,"&lt;="&amp;EOMONTH(DATE(2026,3,1),0))</f>
        <v>0</v>
      </c>
      <c r="E19" s="7">
        <f>SUMIFS(Операции!$E:$E,Операции!$B:$B,"Расход",Операции!$D:$D,"Подрядчики маркетинга",Операции!$A:$A,"&gt;="&amp;DATE(2026,4,1),Операции!$A:$A,"&lt;="&amp;EOMONTH(DATE(2026,4,1),0))</f>
        <v>0</v>
      </c>
      <c r="F19" s="7">
        <f>SUMIFS(Операции!$E:$E,Операции!$B:$B,"Расход",Операции!$D:$D,"Подрядчики маркетинга",Операции!$A:$A,"&gt;="&amp;DATE(2026,5,1),Операции!$A:$A,"&lt;="&amp;EOMONTH(DATE(2026,5,1),0))</f>
        <v>0</v>
      </c>
      <c r="G19" s="7">
        <f>SUMIFS(Операции!$E:$E,Операции!$B:$B,"Расход",Операции!$D:$D,"Подрядчики маркетинга",Операции!$A:$A,"&gt;="&amp;DATE(2026,6,1),Операции!$A:$A,"&lt;="&amp;EOMONTH(DATE(2026,6,1),0))</f>
        <v>0</v>
      </c>
      <c r="H19" s="7">
        <f>SUMIFS(Операции!$E:$E,Операции!$B:$B,"Расход",Операции!$D:$D,"Подрядчики маркетинга",Операции!$A:$A,"&gt;="&amp;DATE(2026,7,1),Операции!$A:$A,"&lt;="&amp;EOMONTH(DATE(2026,7,1),0))</f>
        <v>0</v>
      </c>
      <c r="I19" s="7">
        <f>SUMIFS(Операции!$E:$E,Операции!$B:$B,"Расход",Операции!$D:$D,"Подрядчики маркетинга",Операции!$A:$A,"&gt;="&amp;DATE(2026,8,1),Операции!$A:$A,"&lt;="&amp;EOMONTH(DATE(2026,8,1),0))</f>
        <v>0</v>
      </c>
      <c r="J19" s="7">
        <f>SUMIFS(Операции!$E:$E,Операции!$B:$B,"Расход",Операции!$D:$D,"Подрядчики маркетинга",Операции!$A:$A,"&gt;="&amp;DATE(2026,9,1),Операции!$A:$A,"&lt;="&amp;EOMONTH(DATE(2026,9,1),0))</f>
        <v>0</v>
      </c>
      <c r="K19" s="7">
        <f>SUMIFS(Операции!$E:$E,Операции!$B:$B,"Расход",Операции!$D:$D,"Подрядчики маркетинга",Операции!$A:$A,"&gt;="&amp;DATE(2026,10,1),Операции!$A:$A,"&lt;="&amp;EOMONTH(DATE(2026,10,1),0))</f>
        <v>0</v>
      </c>
      <c r="L19" s="7">
        <f>SUMIFS(Операции!$E:$E,Операции!$B:$B,"Расход",Операции!$D:$D,"Подрядчики маркетинга",Операции!$A:$A,"&gt;="&amp;DATE(2026,11,1),Операции!$A:$A,"&lt;="&amp;EOMONTH(DATE(2026,11,1),0))</f>
        <v>0</v>
      </c>
      <c r="M19" s="7">
        <f>SUMIFS(Операции!$E:$E,Операции!$B:$B,"Расход",Операции!$D:$D,"Подрядчики маркетинга",Операции!$A:$A,"&gt;="&amp;DATE(2026,12,1),Операции!$A:$A,"&lt;="&amp;EOMONTH(DATE(2026,12,1),0))</f>
        <v>0</v>
      </c>
      <c r="N19" s="7">
        <f>SUM(B19:M19)</f>
        <v>0</v>
      </c>
    </row>
    <row r="20" spans="1:14" x14ac:dyDescent="0.25">
      <c r="A20" t="s">
        <v>154</v>
      </c>
      <c r="B20" s="7">
        <f>SUMIFS(Операции!$E:$E,Операции!$B:$B,"Расход",Операции!$D:$D,"Контент и продакшн",Операции!$A:$A,"&gt;="&amp;DATE(2026,1,1),Операции!$A:$A,"&lt;="&amp;EOMONTH(DATE(2026,1,1),0))</f>
        <v>0</v>
      </c>
      <c r="C20" s="7">
        <f>SUMIFS(Операции!$E:$E,Операции!$B:$B,"Расход",Операции!$D:$D,"Контент и продакшн",Операции!$A:$A,"&gt;="&amp;DATE(2026,2,1),Операции!$A:$A,"&lt;="&amp;EOMONTH(DATE(2026,2,1),0))</f>
        <v>0</v>
      </c>
      <c r="D20" s="7">
        <f>SUMIFS(Операции!$E:$E,Операции!$B:$B,"Расход",Операции!$D:$D,"Контент и продакшн",Операции!$A:$A,"&gt;="&amp;DATE(2026,3,1),Операции!$A:$A,"&lt;="&amp;EOMONTH(DATE(2026,3,1),0))</f>
        <v>45000</v>
      </c>
      <c r="E20" s="7">
        <f>SUMIFS(Операции!$E:$E,Операции!$B:$B,"Расход",Операции!$D:$D,"Контент и продакшн",Операции!$A:$A,"&gt;="&amp;DATE(2026,4,1),Операции!$A:$A,"&lt;="&amp;EOMONTH(DATE(2026,4,1),0))</f>
        <v>0</v>
      </c>
      <c r="F20" s="7">
        <f>SUMIFS(Операции!$E:$E,Операции!$B:$B,"Расход",Операции!$D:$D,"Контент и продакшн",Операции!$A:$A,"&gt;="&amp;DATE(2026,5,1),Операции!$A:$A,"&lt;="&amp;EOMONTH(DATE(2026,5,1),0))</f>
        <v>0</v>
      </c>
      <c r="G20" s="7">
        <f>SUMIFS(Операции!$E:$E,Операции!$B:$B,"Расход",Операции!$D:$D,"Контент и продакшн",Операции!$A:$A,"&gt;="&amp;DATE(2026,6,1),Операции!$A:$A,"&lt;="&amp;EOMONTH(DATE(2026,6,1),0))</f>
        <v>0</v>
      </c>
      <c r="H20" s="7">
        <f>SUMIFS(Операции!$E:$E,Операции!$B:$B,"Расход",Операции!$D:$D,"Контент и продакшн",Операции!$A:$A,"&gt;="&amp;DATE(2026,7,1),Операции!$A:$A,"&lt;="&amp;EOMONTH(DATE(2026,7,1),0))</f>
        <v>0</v>
      </c>
      <c r="I20" s="7">
        <f>SUMIFS(Операции!$E:$E,Операции!$B:$B,"Расход",Операции!$D:$D,"Контент и продакшн",Операции!$A:$A,"&gt;="&amp;DATE(2026,8,1),Операции!$A:$A,"&lt;="&amp;EOMONTH(DATE(2026,8,1),0))</f>
        <v>0</v>
      </c>
      <c r="J20" s="7">
        <f>SUMIFS(Операции!$E:$E,Операции!$B:$B,"Расход",Операции!$D:$D,"Контент и продакшн",Операции!$A:$A,"&gt;="&amp;DATE(2026,9,1),Операции!$A:$A,"&lt;="&amp;EOMONTH(DATE(2026,9,1),0))</f>
        <v>0</v>
      </c>
      <c r="K20" s="7">
        <f>SUMIFS(Операции!$E:$E,Операции!$B:$B,"Расход",Операции!$D:$D,"Контент и продакшн",Операции!$A:$A,"&gt;="&amp;DATE(2026,10,1),Операции!$A:$A,"&lt;="&amp;EOMONTH(DATE(2026,10,1),0))</f>
        <v>0</v>
      </c>
      <c r="L20" s="7">
        <f>SUMIFS(Операции!$E:$E,Операции!$B:$B,"Расход",Операции!$D:$D,"Контент и продакшн",Операции!$A:$A,"&gt;="&amp;DATE(2026,11,1),Операции!$A:$A,"&lt;="&amp;EOMONTH(DATE(2026,11,1),0))</f>
        <v>0</v>
      </c>
      <c r="M20" s="7">
        <f>SUMIFS(Операции!$E:$E,Операции!$B:$B,"Расход",Операции!$D:$D,"Контент и продакшн",Операции!$A:$A,"&gt;="&amp;DATE(2026,12,1),Операции!$A:$A,"&lt;="&amp;EOMONTH(DATE(2026,12,1),0))</f>
        <v>0</v>
      </c>
      <c r="N20" s="7">
        <f>SUM(B20:M20)</f>
        <v>45000</v>
      </c>
    </row>
    <row r="21" spans="1:14" s="3" customFormat="1" x14ac:dyDescent="0.25">
      <c r="A21" s="13" t="s">
        <v>155</v>
      </c>
      <c r="B21" s="14">
        <f>SUMIFS(Операции!$E:$E,Операции!$B:$B,"Расход",Операции!$D:$D,"Комиссии и бонусы продавцов",Операции!$A:$A,"&gt;="&amp;DATE(2026,1,1),Операции!$A:$A,"&lt;="&amp;EOMONTH(DATE(2026,1,1),0))+SUMIFS(Операции!$E:$E,Операции!$B:$B,"Расход",Операции!$D:$D,"CRM и телефония",Операции!$A:$A,"&gt;="&amp;DATE(2026,1,1),Операции!$A:$A,"&lt;="&amp;EOMONTH(DATE(2026,1,1),0))</f>
        <v>0</v>
      </c>
      <c r="C21" s="14">
        <f>SUMIFS(Операции!$E:$E,Операции!$B:$B,"Расход",Операции!$D:$D,"Комиссии и бонусы продавцов",Операции!$A:$A,"&gt;="&amp;DATE(2026,2,1),Операции!$A:$A,"&lt;="&amp;EOMONTH(DATE(2026,2,1),0))+SUMIFS(Операции!$E:$E,Операции!$B:$B,"Расход",Операции!$D:$D,"CRM и телефония",Операции!$A:$A,"&gt;="&amp;DATE(2026,2,1),Операции!$A:$A,"&lt;="&amp;EOMONTH(DATE(2026,2,1),0))</f>
        <v>42000</v>
      </c>
      <c r="D21" s="14">
        <f>SUMIFS(Операции!$E:$E,Операции!$B:$B,"Расход",Операции!$D:$D,"Комиссии и бонусы продавцов",Операции!$A:$A,"&gt;="&amp;DATE(2026,3,1),Операции!$A:$A,"&lt;="&amp;EOMONTH(DATE(2026,3,1),0))+SUMIFS(Операции!$E:$E,Операции!$B:$B,"Расход",Операции!$D:$D,"CRM и телефония",Операции!$A:$A,"&gt;="&amp;DATE(2026,3,1),Операции!$A:$A,"&lt;="&amp;EOMONTH(DATE(2026,3,1),0))</f>
        <v>60000</v>
      </c>
      <c r="E21" s="14">
        <f>SUMIFS(Операции!$E:$E,Операции!$B:$B,"Расход",Операции!$D:$D,"Комиссии и бонусы продавцов",Операции!$A:$A,"&gt;="&amp;DATE(2026,4,1),Операции!$A:$A,"&lt;="&amp;EOMONTH(DATE(2026,4,1),0))+SUMIFS(Операции!$E:$E,Операции!$B:$B,"Расход",Операции!$D:$D,"CRM и телефония",Операции!$A:$A,"&gt;="&amp;DATE(2026,4,1),Операции!$A:$A,"&lt;="&amp;EOMONTH(DATE(2026,4,1),0))</f>
        <v>0</v>
      </c>
      <c r="F21" s="14">
        <f>SUMIFS(Операции!$E:$E,Операции!$B:$B,"Расход",Операции!$D:$D,"Комиссии и бонусы продавцов",Операции!$A:$A,"&gt;="&amp;DATE(2026,5,1),Операции!$A:$A,"&lt;="&amp;EOMONTH(DATE(2026,5,1),0))+SUMIFS(Операции!$E:$E,Операции!$B:$B,"Расход",Операции!$D:$D,"CRM и телефония",Операции!$A:$A,"&gt;="&amp;DATE(2026,5,1),Операции!$A:$A,"&lt;="&amp;EOMONTH(DATE(2026,5,1),0))</f>
        <v>0</v>
      </c>
      <c r="G21" s="14">
        <f>SUMIFS(Операции!$E:$E,Операции!$B:$B,"Расход",Операции!$D:$D,"Комиссии и бонусы продавцов",Операции!$A:$A,"&gt;="&amp;DATE(2026,6,1),Операции!$A:$A,"&lt;="&amp;EOMONTH(DATE(2026,6,1),0))+SUMIFS(Операции!$E:$E,Операции!$B:$B,"Расход",Операции!$D:$D,"CRM и телефония",Операции!$A:$A,"&gt;="&amp;DATE(2026,6,1),Операции!$A:$A,"&lt;="&amp;EOMONTH(DATE(2026,6,1),0))</f>
        <v>0</v>
      </c>
      <c r="H21" s="14">
        <f>SUMIFS(Операции!$E:$E,Операции!$B:$B,"Расход",Операции!$D:$D,"Комиссии и бонусы продавцов",Операции!$A:$A,"&gt;="&amp;DATE(2026,7,1),Операции!$A:$A,"&lt;="&amp;EOMONTH(DATE(2026,7,1),0))+SUMIFS(Операции!$E:$E,Операции!$B:$B,"Расход",Операции!$D:$D,"CRM и телефония",Операции!$A:$A,"&gt;="&amp;DATE(2026,7,1),Операции!$A:$A,"&lt;="&amp;EOMONTH(DATE(2026,7,1),0))</f>
        <v>0</v>
      </c>
      <c r="I21" s="14">
        <f>SUMIFS(Операции!$E:$E,Операции!$B:$B,"Расход",Операции!$D:$D,"Комиссии и бонусы продавцов",Операции!$A:$A,"&gt;="&amp;DATE(2026,8,1),Операции!$A:$A,"&lt;="&amp;EOMONTH(DATE(2026,8,1),0))+SUMIFS(Операции!$E:$E,Операции!$B:$B,"Расход",Операции!$D:$D,"CRM и телефония",Операции!$A:$A,"&gt;="&amp;DATE(2026,8,1),Операции!$A:$A,"&lt;="&amp;EOMONTH(DATE(2026,8,1),0))</f>
        <v>0</v>
      </c>
      <c r="J21" s="14">
        <f>SUMIFS(Операции!$E:$E,Операции!$B:$B,"Расход",Операции!$D:$D,"Комиссии и бонусы продавцов",Операции!$A:$A,"&gt;="&amp;DATE(2026,9,1),Операции!$A:$A,"&lt;="&amp;EOMONTH(DATE(2026,9,1),0))+SUMIFS(Операции!$E:$E,Операции!$B:$B,"Расход",Операции!$D:$D,"CRM и телефония",Операции!$A:$A,"&gt;="&amp;DATE(2026,9,1),Операции!$A:$A,"&lt;="&amp;EOMONTH(DATE(2026,9,1),0))</f>
        <v>0</v>
      </c>
      <c r="K21" s="14">
        <f>SUMIFS(Операции!$E:$E,Операции!$B:$B,"Расход",Операции!$D:$D,"Комиссии и бонусы продавцов",Операции!$A:$A,"&gt;="&amp;DATE(2026,10,1),Операции!$A:$A,"&lt;="&amp;EOMONTH(DATE(2026,10,1),0))+SUMIFS(Операции!$E:$E,Операции!$B:$B,"Расход",Операции!$D:$D,"CRM и телефония",Операции!$A:$A,"&gt;="&amp;DATE(2026,10,1),Операции!$A:$A,"&lt;="&amp;EOMONTH(DATE(2026,10,1),0))</f>
        <v>0</v>
      </c>
      <c r="L21" s="14">
        <f>SUMIFS(Операции!$E:$E,Операции!$B:$B,"Расход",Операции!$D:$D,"Комиссии и бонусы продавцов",Операции!$A:$A,"&gt;="&amp;DATE(2026,11,1),Операции!$A:$A,"&lt;="&amp;EOMONTH(DATE(2026,11,1),0))+SUMIFS(Операции!$E:$E,Операции!$B:$B,"Расход",Операции!$D:$D,"CRM и телефония",Операции!$A:$A,"&gt;="&amp;DATE(2026,11,1),Операции!$A:$A,"&lt;="&amp;EOMONTH(DATE(2026,11,1),0))</f>
        <v>0</v>
      </c>
      <c r="M21" s="14">
        <f>SUMIFS(Операции!$E:$E,Операции!$B:$B,"Расход",Операции!$D:$D,"Комиссии и бонусы продавцов",Операции!$A:$A,"&gt;="&amp;DATE(2026,12,1),Операции!$A:$A,"&lt;="&amp;EOMONTH(DATE(2026,12,1),0))+SUMIFS(Операции!$E:$E,Операции!$B:$B,"Расход",Операции!$D:$D,"CRM и телефония",Операции!$A:$A,"&gt;="&amp;DATE(2026,12,1),Операции!$A:$A,"&lt;="&amp;EOMONTH(DATE(2026,12,1),0))</f>
        <v>0</v>
      </c>
      <c r="N21" s="14">
        <f>SUM(B21:M21)</f>
        <v>102000</v>
      </c>
    </row>
    <row r="22" spans="1:14" x14ac:dyDescent="0.25">
      <c r="A22" t="s">
        <v>156</v>
      </c>
      <c r="B22" s="7">
        <f>SUMIFS(Операции!$E:$E,Операции!$B:$B,"Расход",Операции!$D:$D,"Комиссии и бонусы продавцов",Операции!$A:$A,"&gt;="&amp;DATE(2026,1,1),Операции!$A:$A,"&lt;="&amp;EOMONTH(DATE(2026,1,1),0))</f>
        <v>0</v>
      </c>
      <c r="C22" s="7">
        <f>SUMIFS(Операции!$E:$E,Операции!$B:$B,"Расход",Операции!$D:$D,"Комиссии и бонусы продавцов",Операции!$A:$A,"&gt;="&amp;DATE(2026,2,1),Операции!$A:$A,"&lt;="&amp;EOMONTH(DATE(2026,2,1),0))</f>
        <v>42000</v>
      </c>
      <c r="D22" s="7">
        <f>SUMIFS(Операции!$E:$E,Операции!$B:$B,"Расход",Операции!$D:$D,"Комиссии и бонусы продавцов",Операции!$A:$A,"&gt;="&amp;DATE(2026,3,1),Операции!$A:$A,"&lt;="&amp;EOMONTH(DATE(2026,3,1),0))</f>
        <v>48000</v>
      </c>
      <c r="E22" s="7">
        <f>SUMIFS(Операции!$E:$E,Операции!$B:$B,"Расход",Операции!$D:$D,"Комиссии и бонусы продавцов",Операции!$A:$A,"&gt;="&amp;DATE(2026,4,1),Операции!$A:$A,"&lt;="&amp;EOMONTH(DATE(2026,4,1),0))</f>
        <v>0</v>
      </c>
      <c r="F22" s="7">
        <f>SUMIFS(Операции!$E:$E,Операции!$B:$B,"Расход",Операции!$D:$D,"Комиссии и бонусы продавцов",Операции!$A:$A,"&gt;="&amp;DATE(2026,5,1),Операции!$A:$A,"&lt;="&amp;EOMONTH(DATE(2026,5,1),0))</f>
        <v>0</v>
      </c>
      <c r="G22" s="7">
        <f>SUMIFS(Операции!$E:$E,Операции!$B:$B,"Расход",Операции!$D:$D,"Комиссии и бонусы продавцов",Операции!$A:$A,"&gt;="&amp;DATE(2026,6,1),Операции!$A:$A,"&lt;="&amp;EOMONTH(DATE(2026,6,1),0))</f>
        <v>0</v>
      </c>
      <c r="H22" s="7">
        <f>SUMIFS(Операции!$E:$E,Операции!$B:$B,"Расход",Операции!$D:$D,"Комиссии и бонусы продавцов",Операции!$A:$A,"&gt;="&amp;DATE(2026,7,1),Операции!$A:$A,"&lt;="&amp;EOMONTH(DATE(2026,7,1),0))</f>
        <v>0</v>
      </c>
      <c r="I22" s="7">
        <f>SUMIFS(Операции!$E:$E,Операции!$B:$B,"Расход",Операции!$D:$D,"Комиссии и бонусы продавцов",Операции!$A:$A,"&gt;="&amp;DATE(2026,8,1),Операции!$A:$A,"&lt;="&amp;EOMONTH(DATE(2026,8,1),0))</f>
        <v>0</v>
      </c>
      <c r="J22" s="7">
        <f>SUMIFS(Операции!$E:$E,Операции!$B:$B,"Расход",Операции!$D:$D,"Комиссии и бонусы продавцов",Операции!$A:$A,"&gt;="&amp;DATE(2026,9,1),Операции!$A:$A,"&lt;="&amp;EOMONTH(DATE(2026,9,1),0))</f>
        <v>0</v>
      </c>
      <c r="K22" s="7">
        <f>SUMIFS(Операции!$E:$E,Операции!$B:$B,"Расход",Операции!$D:$D,"Комиссии и бонусы продавцов",Операции!$A:$A,"&gt;="&amp;DATE(2026,10,1),Операции!$A:$A,"&lt;="&amp;EOMONTH(DATE(2026,10,1),0))</f>
        <v>0</v>
      </c>
      <c r="L22" s="7">
        <f>SUMIFS(Операции!$E:$E,Операции!$B:$B,"Расход",Операции!$D:$D,"Комиссии и бонусы продавцов",Операции!$A:$A,"&gt;="&amp;DATE(2026,11,1),Операции!$A:$A,"&lt;="&amp;EOMONTH(DATE(2026,11,1),0))</f>
        <v>0</v>
      </c>
      <c r="M22" s="7">
        <f>SUMIFS(Операции!$E:$E,Операции!$B:$B,"Расход",Операции!$D:$D,"Комиссии и бонусы продавцов",Операции!$A:$A,"&gt;="&amp;DATE(2026,12,1),Операции!$A:$A,"&lt;="&amp;EOMONTH(DATE(2026,12,1),0))</f>
        <v>0</v>
      </c>
      <c r="N22" s="7">
        <f>SUM(B22:M22)</f>
        <v>90000</v>
      </c>
    </row>
    <row r="23" spans="1:14" x14ac:dyDescent="0.25">
      <c r="A23" t="s">
        <v>157</v>
      </c>
      <c r="B23" s="7">
        <f>SUMIFS(Операции!$E:$E,Операции!$B:$B,"Расход",Операции!$D:$D,"CRM и телефония",Операции!$A:$A,"&gt;="&amp;DATE(2026,1,1),Операции!$A:$A,"&lt;="&amp;EOMONTH(DATE(2026,1,1),0))</f>
        <v>0</v>
      </c>
      <c r="C23" s="7">
        <f>SUMIFS(Операции!$E:$E,Операции!$B:$B,"Расход",Операции!$D:$D,"CRM и телефония",Операции!$A:$A,"&gt;="&amp;DATE(2026,2,1),Операции!$A:$A,"&lt;="&amp;EOMONTH(DATE(2026,2,1),0))</f>
        <v>0</v>
      </c>
      <c r="D23" s="7">
        <f>SUMIFS(Операции!$E:$E,Операции!$B:$B,"Расход",Операции!$D:$D,"CRM и телефония",Операции!$A:$A,"&gt;="&amp;DATE(2026,3,1),Операции!$A:$A,"&lt;="&amp;EOMONTH(DATE(2026,3,1),0))</f>
        <v>12000</v>
      </c>
      <c r="E23" s="7">
        <f>SUMIFS(Операции!$E:$E,Операции!$B:$B,"Расход",Операции!$D:$D,"CRM и телефония",Операции!$A:$A,"&gt;="&amp;DATE(2026,4,1),Операции!$A:$A,"&lt;="&amp;EOMONTH(DATE(2026,4,1),0))</f>
        <v>0</v>
      </c>
      <c r="F23" s="7">
        <f>SUMIFS(Операции!$E:$E,Операции!$B:$B,"Расход",Операции!$D:$D,"CRM и телефония",Операции!$A:$A,"&gt;="&amp;DATE(2026,5,1),Операции!$A:$A,"&lt;="&amp;EOMONTH(DATE(2026,5,1),0))</f>
        <v>0</v>
      </c>
      <c r="G23" s="7">
        <f>SUMIFS(Операции!$E:$E,Операции!$B:$B,"Расход",Операции!$D:$D,"CRM и телефония",Операции!$A:$A,"&gt;="&amp;DATE(2026,6,1),Операции!$A:$A,"&lt;="&amp;EOMONTH(DATE(2026,6,1),0))</f>
        <v>0</v>
      </c>
      <c r="H23" s="7">
        <f>SUMIFS(Операции!$E:$E,Операции!$B:$B,"Расход",Операции!$D:$D,"CRM и телефония",Операции!$A:$A,"&gt;="&amp;DATE(2026,7,1),Операции!$A:$A,"&lt;="&amp;EOMONTH(DATE(2026,7,1),0))</f>
        <v>0</v>
      </c>
      <c r="I23" s="7">
        <f>SUMIFS(Операции!$E:$E,Операции!$B:$B,"Расход",Операции!$D:$D,"CRM и телефония",Операции!$A:$A,"&gt;="&amp;DATE(2026,8,1),Операции!$A:$A,"&lt;="&amp;EOMONTH(DATE(2026,8,1),0))</f>
        <v>0</v>
      </c>
      <c r="J23" s="7">
        <f>SUMIFS(Операции!$E:$E,Операции!$B:$B,"Расход",Операции!$D:$D,"CRM и телефония",Операции!$A:$A,"&gt;="&amp;DATE(2026,9,1),Операции!$A:$A,"&lt;="&amp;EOMONTH(DATE(2026,9,1),0))</f>
        <v>0</v>
      </c>
      <c r="K23" s="7">
        <f>SUMIFS(Операции!$E:$E,Операции!$B:$B,"Расход",Операции!$D:$D,"CRM и телефония",Операции!$A:$A,"&gt;="&amp;DATE(2026,10,1),Операции!$A:$A,"&lt;="&amp;EOMONTH(DATE(2026,10,1),0))</f>
        <v>0</v>
      </c>
      <c r="L23" s="7">
        <f>SUMIFS(Операции!$E:$E,Операции!$B:$B,"Расход",Операции!$D:$D,"CRM и телефония",Операции!$A:$A,"&gt;="&amp;DATE(2026,11,1),Операции!$A:$A,"&lt;="&amp;EOMONTH(DATE(2026,11,1),0))</f>
        <v>0</v>
      </c>
      <c r="M23" s="7">
        <f>SUMIFS(Операции!$E:$E,Операции!$B:$B,"Расход",Операции!$D:$D,"CRM и телефония",Операции!$A:$A,"&gt;="&amp;DATE(2026,12,1),Операции!$A:$A,"&lt;="&amp;EOMONTH(DATE(2026,12,1),0))</f>
        <v>0</v>
      </c>
      <c r="N23" s="7">
        <f>SUM(B23:M23)</f>
        <v>12000</v>
      </c>
    </row>
    <row r="24" spans="1:14" s="3" customFormat="1" x14ac:dyDescent="0.25">
      <c r="A24" s="13" t="s">
        <v>158</v>
      </c>
      <c r="B24" s="14">
        <f>SUMIFS(Операции!$E:$E,Операции!$B:$B,"Расход",Операции!$D:$D,"Аренда и коммуналка",Операции!$A:$A,"&gt;="&amp;DATE(2026,1,1),Операции!$A:$A,"&lt;="&amp;EOMONTH(DATE(2026,1,1),0))+SUMIFS(Операции!$E:$E,Операции!$B:$B,"Расход",Операции!$D:$D,"Бухгалтерия и юристы",Операции!$A:$A,"&gt;="&amp;DATE(2026,1,1),Операции!$A:$A,"&lt;="&amp;EOMONTH(DATE(2026,1,1),0))+SUMIFS(Операции!$E:$E,Операции!$B:$B,"Расход",Операции!$D:$D,"Сервисы и подписки",Операции!$A:$A,"&gt;="&amp;DATE(2026,1,1),Операции!$A:$A,"&lt;="&amp;EOMONTH(DATE(2026,1,1),0))+SUMIFS(Операции!$E:$E,Операции!$B:$B,"Расход",Операции!$D:$D,"Банковские комиссии",Операции!$A:$A,"&gt;="&amp;DATE(2026,1,1),Операции!$A:$A,"&lt;="&amp;EOMONTH(DATE(2026,1,1),0))+SUMIFS(Операции!$E:$E,Операции!$B:$B,"Расход",Операции!$D:$D,"Обучение и книги",Операции!$A:$A,"&gt;="&amp;DATE(2026,1,1),Операции!$A:$A,"&lt;="&amp;EOMONTH(DATE(2026,1,1),0))</f>
        <v>109000</v>
      </c>
      <c r="C24" s="14">
        <f>SUMIFS(Операции!$E:$E,Операции!$B:$B,"Расход",Операции!$D:$D,"Аренда и коммуналка",Операции!$A:$A,"&gt;="&amp;DATE(2026,2,1),Операции!$A:$A,"&lt;="&amp;EOMONTH(DATE(2026,2,1),0))+SUMIFS(Операции!$E:$E,Операции!$B:$B,"Расход",Операции!$D:$D,"Бухгалтерия и юристы",Операции!$A:$A,"&gt;="&amp;DATE(2026,2,1),Операции!$A:$A,"&lt;="&amp;EOMONTH(DATE(2026,2,1),0))+SUMIFS(Операции!$E:$E,Операции!$B:$B,"Расход",Операции!$D:$D,"Сервисы и подписки",Операции!$A:$A,"&gt;="&amp;DATE(2026,2,1),Операции!$A:$A,"&lt;="&amp;EOMONTH(DATE(2026,2,1),0))+SUMIFS(Операции!$E:$E,Операции!$B:$B,"Расход",Операции!$D:$D,"Банковские комиссии",Операции!$A:$A,"&gt;="&amp;DATE(2026,2,1),Операции!$A:$A,"&lt;="&amp;EOMONTH(DATE(2026,2,1),0))+SUMIFS(Операции!$E:$E,Операции!$B:$B,"Расход",Операции!$D:$D,"Обучение и книги",Операции!$A:$A,"&gt;="&amp;DATE(2026,2,1),Операции!$A:$A,"&lt;="&amp;EOMONTH(DATE(2026,2,1),0))</f>
        <v>109000</v>
      </c>
      <c r="D24" s="14">
        <f>SUMIFS(Операции!$E:$E,Операции!$B:$B,"Расход",Операции!$D:$D,"Аренда и коммуналка",Операции!$A:$A,"&gt;="&amp;DATE(2026,3,1),Операции!$A:$A,"&lt;="&amp;EOMONTH(DATE(2026,3,1),0))+SUMIFS(Операции!$E:$E,Операции!$B:$B,"Расход",Операции!$D:$D,"Бухгалтерия и юристы",Операции!$A:$A,"&gt;="&amp;DATE(2026,3,1),Операции!$A:$A,"&lt;="&amp;EOMONTH(DATE(2026,3,1),0))+SUMIFS(Операции!$E:$E,Операции!$B:$B,"Расход",Операции!$D:$D,"Сервисы и подписки",Операции!$A:$A,"&gt;="&amp;DATE(2026,3,1),Операции!$A:$A,"&lt;="&amp;EOMONTH(DATE(2026,3,1),0))+SUMIFS(Операции!$E:$E,Операции!$B:$B,"Расход",Операции!$D:$D,"Банковские комиссии",Операции!$A:$A,"&gt;="&amp;DATE(2026,3,1),Операции!$A:$A,"&lt;="&amp;EOMONTH(DATE(2026,3,1),0))+SUMIFS(Операции!$E:$E,Операции!$B:$B,"Расход",Операции!$D:$D,"Обучение и книги",Операции!$A:$A,"&gt;="&amp;DATE(2026,3,1),Операции!$A:$A,"&lt;="&amp;EOMONTH(DATE(2026,3,1),0))</f>
        <v>109000</v>
      </c>
      <c r="E24" s="14">
        <f>SUMIFS(Операции!$E:$E,Операции!$B:$B,"Расход",Операции!$D:$D,"Аренда и коммуналка",Операции!$A:$A,"&gt;="&amp;DATE(2026,4,1),Операции!$A:$A,"&lt;="&amp;EOMONTH(DATE(2026,4,1),0))+SUMIFS(Операции!$E:$E,Операции!$B:$B,"Расход",Операции!$D:$D,"Бухгалтерия и юристы",Операции!$A:$A,"&gt;="&amp;DATE(2026,4,1),Операции!$A:$A,"&lt;="&amp;EOMONTH(DATE(2026,4,1),0))+SUMIFS(Операции!$E:$E,Операции!$B:$B,"Расход",Операции!$D:$D,"Сервисы и подписки",Операции!$A:$A,"&gt;="&amp;DATE(2026,4,1),Операции!$A:$A,"&lt;="&amp;EOMONTH(DATE(2026,4,1),0))+SUMIFS(Операции!$E:$E,Операции!$B:$B,"Расход",Операции!$D:$D,"Банковские комиссии",Операции!$A:$A,"&gt;="&amp;DATE(2026,4,1),Операции!$A:$A,"&lt;="&amp;EOMONTH(DATE(2026,4,1),0))+SUMIFS(Операции!$E:$E,Операции!$B:$B,"Расход",Операции!$D:$D,"Обучение и книги",Операции!$A:$A,"&gt;="&amp;DATE(2026,4,1),Операции!$A:$A,"&lt;="&amp;EOMONTH(DATE(2026,4,1),0))</f>
        <v>0</v>
      </c>
      <c r="F24" s="14">
        <f>SUMIFS(Операции!$E:$E,Операции!$B:$B,"Расход",Операции!$D:$D,"Аренда и коммуналка",Операции!$A:$A,"&gt;="&amp;DATE(2026,5,1),Операции!$A:$A,"&lt;="&amp;EOMONTH(DATE(2026,5,1),0))+SUMIFS(Операции!$E:$E,Операции!$B:$B,"Расход",Операции!$D:$D,"Бухгалтерия и юристы",Операции!$A:$A,"&gt;="&amp;DATE(2026,5,1),Операции!$A:$A,"&lt;="&amp;EOMONTH(DATE(2026,5,1),0))+SUMIFS(Операции!$E:$E,Операции!$B:$B,"Расход",Операции!$D:$D,"Сервисы и подписки",Операции!$A:$A,"&gt;="&amp;DATE(2026,5,1),Операции!$A:$A,"&lt;="&amp;EOMONTH(DATE(2026,5,1),0))+SUMIFS(Операции!$E:$E,Операции!$B:$B,"Расход",Операции!$D:$D,"Банковские комиссии",Операции!$A:$A,"&gt;="&amp;DATE(2026,5,1),Операции!$A:$A,"&lt;="&amp;EOMONTH(DATE(2026,5,1),0))+SUMIFS(Операции!$E:$E,Операции!$B:$B,"Расход",Операции!$D:$D,"Обучение и книги",Операции!$A:$A,"&gt;="&amp;DATE(2026,5,1),Операции!$A:$A,"&lt;="&amp;EOMONTH(DATE(2026,5,1),0))</f>
        <v>0</v>
      </c>
      <c r="G24" s="14">
        <f>SUMIFS(Операции!$E:$E,Операции!$B:$B,"Расход",Операции!$D:$D,"Аренда и коммуналка",Операции!$A:$A,"&gt;="&amp;DATE(2026,6,1),Операции!$A:$A,"&lt;="&amp;EOMONTH(DATE(2026,6,1),0))+SUMIFS(Операции!$E:$E,Операции!$B:$B,"Расход",Операции!$D:$D,"Бухгалтерия и юристы",Операции!$A:$A,"&gt;="&amp;DATE(2026,6,1),Операции!$A:$A,"&lt;="&amp;EOMONTH(DATE(2026,6,1),0))+SUMIFS(Операции!$E:$E,Операции!$B:$B,"Расход",Операции!$D:$D,"Сервисы и подписки",Операции!$A:$A,"&gt;="&amp;DATE(2026,6,1),Операции!$A:$A,"&lt;="&amp;EOMONTH(DATE(2026,6,1),0))+SUMIFS(Операции!$E:$E,Операции!$B:$B,"Расход",Операции!$D:$D,"Банковские комиссии",Операции!$A:$A,"&gt;="&amp;DATE(2026,6,1),Операции!$A:$A,"&lt;="&amp;EOMONTH(DATE(2026,6,1),0))+SUMIFS(Операции!$E:$E,Операции!$B:$B,"Расход",Операции!$D:$D,"Обучение и книги",Операции!$A:$A,"&gt;="&amp;DATE(2026,6,1),Операции!$A:$A,"&lt;="&amp;EOMONTH(DATE(2026,6,1),0))</f>
        <v>0</v>
      </c>
      <c r="H24" s="14">
        <f>SUMIFS(Операции!$E:$E,Операции!$B:$B,"Расход",Операции!$D:$D,"Аренда и коммуналка",Операции!$A:$A,"&gt;="&amp;DATE(2026,7,1),Операции!$A:$A,"&lt;="&amp;EOMONTH(DATE(2026,7,1),0))+SUMIFS(Операции!$E:$E,Операции!$B:$B,"Расход",Операции!$D:$D,"Бухгалтерия и юристы",Операции!$A:$A,"&gt;="&amp;DATE(2026,7,1),Операции!$A:$A,"&lt;="&amp;EOMONTH(DATE(2026,7,1),0))+SUMIFS(Операции!$E:$E,Операции!$B:$B,"Расход",Операции!$D:$D,"Сервисы и подписки",Операции!$A:$A,"&gt;="&amp;DATE(2026,7,1),Операции!$A:$A,"&lt;="&amp;EOMONTH(DATE(2026,7,1),0))+SUMIFS(Операции!$E:$E,Операции!$B:$B,"Расход",Операции!$D:$D,"Банковские комиссии",Операции!$A:$A,"&gt;="&amp;DATE(2026,7,1),Операции!$A:$A,"&lt;="&amp;EOMONTH(DATE(2026,7,1),0))+SUMIFS(Операции!$E:$E,Операции!$B:$B,"Расход",Операции!$D:$D,"Обучение и книги",Операции!$A:$A,"&gt;="&amp;DATE(2026,7,1),Операции!$A:$A,"&lt;="&amp;EOMONTH(DATE(2026,7,1),0))</f>
        <v>0</v>
      </c>
      <c r="I24" s="14">
        <f>SUMIFS(Операции!$E:$E,Операции!$B:$B,"Расход",Операции!$D:$D,"Аренда и коммуналка",Операции!$A:$A,"&gt;="&amp;DATE(2026,8,1),Операции!$A:$A,"&lt;="&amp;EOMONTH(DATE(2026,8,1),0))+SUMIFS(Операции!$E:$E,Операции!$B:$B,"Расход",Операции!$D:$D,"Бухгалтерия и юристы",Операции!$A:$A,"&gt;="&amp;DATE(2026,8,1),Операции!$A:$A,"&lt;="&amp;EOMONTH(DATE(2026,8,1),0))+SUMIFS(Операции!$E:$E,Операции!$B:$B,"Расход",Операции!$D:$D,"Сервисы и подписки",Операции!$A:$A,"&gt;="&amp;DATE(2026,8,1),Операции!$A:$A,"&lt;="&amp;EOMONTH(DATE(2026,8,1),0))+SUMIFS(Операции!$E:$E,Операции!$B:$B,"Расход",Операции!$D:$D,"Банковские комиссии",Операции!$A:$A,"&gt;="&amp;DATE(2026,8,1),Операции!$A:$A,"&lt;="&amp;EOMONTH(DATE(2026,8,1),0))+SUMIFS(Операции!$E:$E,Операции!$B:$B,"Расход",Операции!$D:$D,"Обучение и книги",Операции!$A:$A,"&gt;="&amp;DATE(2026,8,1),Операции!$A:$A,"&lt;="&amp;EOMONTH(DATE(2026,8,1),0))</f>
        <v>0</v>
      </c>
      <c r="J24" s="14">
        <f>SUMIFS(Операции!$E:$E,Операции!$B:$B,"Расход",Операции!$D:$D,"Аренда и коммуналка",Операции!$A:$A,"&gt;="&amp;DATE(2026,9,1),Операции!$A:$A,"&lt;="&amp;EOMONTH(DATE(2026,9,1),0))+SUMIFS(Операции!$E:$E,Операции!$B:$B,"Расход",Операции!$D:$D,"Бухгалтерия и юристы",Операции!$A:$A,"&gt;="&amp;DATE(2026,9,1),Операции!$A:$A,"&lt;="&amp;EOMONTH(DATE(2026,9,1),0))+SUMIFS(Операции!$E:$E,Операции!$B:$B,"Расход",Операции!$D:$D,"Сервисы и подписки",Операции!$A:$A,"&gt;="&amp;DATE(2026,9,1),Операции!$A:$A,"&lt;="&amp;EOMONTH(DATE(2026,9,1),0))+SUMIFS(Операции!$E:$E,Операции!$B:$B,"Расход",Операции!$D:$D,"Банковские комиссии",Операции!$A:$A,"&gt;="&amp;DATE(2026,9,1),Операции!$A:$A,"&lt;="&amp;EOMONTH(DATE(2026,9,1),0))+SUMIFS(Операции!$E:$E,Операции!$B:$B,"Расход",Операции!$D:$D,"Обучение и книги",Операции!$A:$A,"&gt;="&amp;DATE(2026,9,1),Операции!$A:$A,"&lt;="&amp;EOMONTH(DATE(2026,9,1),0))</f>
        <v>0</v>
      </c>
      <c r="K24" s="14">
        <f>SUMIFS(Операции!$E:$E,Операции!$B:$B,"Расход",Операции!$D:$D,"Аренда и коммуналка",Операции!$A:$A,"&gt;="&amp;DATE(2026,10,1),Операции!$A:$A,"&lt;="&amp;EOMONTH(DATE(2026,10,1),0))+SUMIFS(Операции!$E:$E,Операции!$B:$B,"Расход",Операции!$D:$D,"Бухгалтерия и юристы",Операции!$A:$A,"&gt;="&amp;DATE(2026,10,1),Операции!$A:$A,"&lt;="&amp;EOMONTH(DATE(2026,10,1),0))+SUMIFS(Операции!$E:$E,Операции!$B:$B,"Расход",Операции!$D:$D,"Сервисы и подписки",Операции!$A:$A,"&gt;="&amp;DATE(2026,10,1),Операции!$A:$A,"&lt;="&amp;EOMONTH(DATE(2026,10,1),0))+SUMIFS(Операции!$E:$E,Операции!$B:$B,"Расход",Операции!$D:$D,"Банковские комиссии",Операции!$A:$A,"&gt;="&amp;DATE(2026,10,1),Операции!$A:$A,"&lt;="&amp;EOMONTH(DATE(2026,10,1),0))+SUMIFS(Операции!$E:$E,Операции!$B:$B,"Расход",Операции!$D:$D,"Обучение и книги",Операции!$A:$A,"&gt;="&amp;DATE(2026,10,1),Операции!$A:$A,"&lt;="&amp;EOMONTH(DATE(2026,10,1),0))</f>
        <v>0</v>
      </c>
      <c r="L24" s="14">
        <f>SUMIFS(Операции!$E:$E,Операции!$B:$B,"Расход",Операции!$D:$D,"Аренда и коммуналка",Операции!$A:$A,"&gt;="&amp;DATE(2026,11,1),Операции!$A:$A,"&lt;="&amp;EOMONTH(DATE(2026,11,1),0))+SUMIFS(Операции!$E:$E,Операции!$B:$B,"Расход",Операции!$D:$D,"Бухгалтерия и юристы",Операции!$A:$A,"&gt;="&amp;DATE(2026,11,1),Операции!$A:$A,"&lt;="&amp;EOMONTH(DATE(2026,11,1),0))+SUMIFS(Операции!$E:$E,Операции!$B:$B,"Расход",Операции!$D:$D,"Сервисы и подписки",Операции!$A:$A,"&gt;="&amp;DATE(2026,11,1),Операции!$A:$A,"&lt;="&amp;EOMONTH(DATE(2026,11,1),0))+SUMIFS(Операции!$E:$E,Операции!$B:$B,"Расход",Операции!$D:$D,"Банковские комиссии",Операции!$A:$A,"&gt;="&amp;DATE(2026,11,1),Операции!$A:$A,"&lt;="&amp;EOMONTH(DATE(2026,11,1),0))+SUMIFS(Операции!$E:$E,Операции!$B:$B,"Расход",Операции!$D:$D,"Обучение и книги",Операции!$A:$A,"&gt;="&amp;DATE(2026,11,1),Операции!$A:$A,"&lt;="&amp;EOMONTH(DATE(2026,11,1),0))</f>
        <v>0</v>
      </c>
      <c r="M24" s="14">
        <f>SUMIFS(Операции!$E:$E,Операции!$B:$B,"Расход",Операции!$D:$D,"Аренда и коммуналка",Операции!$A:$A,"&gt;="&amp;DATE(2026,12,1),Операции!$A:$A,"&lt;="&amp;EOMONTH(DATE(2026,12,1),0))+SUMIFS(Операции!$E:$E,Операции!$B:$B,"Расход",Операции!$D:$D,"Бухгалтерия и юристы",Операции!$A:$A,"&gt;="&amp;DATE(2026,12,1),Операции!$A:$A,"&lt;="&amp;EOMONTH(DATE(2026,12,1),0))+SUMIFS(Операции!$E:$E,Операции!$B:$B,"Расход",Операции!$D:$D,"Сервисы и подписки",Операции!$A:$A,"&gt;="&amp;DATE(2026,12,1),Операции!$A:$A,"&lt;="&amp;EOMONTH(DATE(2026,12,1),0))+SUMIFS(Операции!$E:$E,Операции!$B:$B,"Расход",Операции!$D:$D,"Банковские комиссии",Операции!$A:$A,"&gt;="&amp;DATE(2026,12,1),Операции!$A:$A,"&lt;="&amp;EOMONTH(DATE(2026,12,1),0))+SUMIFS(Операции!$E:$E,Операции!$B:$B,"Расход",Операции!$D:$D,"Обучение и книги",Операции!$A:$A,"&gt;="&amp;DATE(2026,12,1),Операции!$A:$A,"&lt;="&amp;EOMONTH(DATE(2026,12,1),0))</f>
        <v>0</v>
      </c>
      <c r="N24" s="14">
        <f>SUM(B24:M24)</f>
        <v>327000</v>
      </c>
    </row>
    <row r="25" spans="1:14" x14ac:dyDescent="0.25">
      <c r="A25" t="s">
        <v>159</v>
      </c>
      <c r="B25" s="7">
        <f>SUMIFS(Операции!$E:$E,Операции!$B:$B,"Расход",Операции!$D:$D,"Аренда и коммуналка",Операции!$A:$A,"&gt;="&amp;DATE(2026,1,1),Операции!$A:$A,"&lt;="&amp;EOMONTH(DATE(2026,1,1),0))</f>
        <v>60000</v>
      </c>
      <c r="C25" s="7">
        <f>SUMIFS(Операции!$E:$E,Операции!$B:$B,"Расход",Операции!$D:$D,"Аренда и коммуналка",Операции!$A:$A,"&gt;="&amp;DATE(2026,2,1),Операции!$A:$A,"&lt;="&amp;EOMONTH(DATE(2026,2,1),0))</f>
        <v>60000</v>
      </c>
      <c r="D25" s="7">
        <f>SUMIFS(Операции!$E:$E,Операции!$B:$B,"Расход",Операции!$D:$D,"Аренда и коммуналка",Операции!$A:$A,"&gt;="&amp;DATE(2026,3,1),Операции!$A:$A,"&lt;="&amp;EOMONTH(DATE(2026,3,1),0))</f>
        <v>60000</v>
      </c>
      <c r="E25" s="7">
        <f>SUMIFS(Операции!$E:$E,Операции!$B:$B,"Расход",Операции!$D:$D,"Аренда и коммуналка",Операции!$A:$A,"&gt;="&amp;DATE(2026,4,1),Операции!$A:$A,"&lt;="&amp;EOMONTH(DATE(2026,4,1),0))</f>
        <v>0</v>
      </c>
      <c r="F25" s="7">
        <f>SUMIFS(Операции!$E:$E,Операции!$B:$B,"Расход",Операции!$D:$D,"Аренда и коммуналка",Операции!$A:$A,"&gt;="&amp;DATE(2026,5,1),Операции!$A:$A,"&lt;="&amp;EOMONTH(DATE(2026,5,1),0))</f>
        <v>0</v>
      </c>
      <c r="G25" s="7">
        <f>SUMIFS(Операции!$E:$E,Операции!$B:$B,"Расход",Операции!$D:$D,"Аренда и коммуналка",Операции!$A:$A,"&gt;="&amp;DATE(2026,6,1),Операции!$A:$A,"&lt;="&amp;EOMONTH(DATE(2026,6,1),0))</f>
        <v>0</v>
      </c>
      <c r="H25" s="7">
        <f>SUMIFS(Операции!$E:$E,Операции!$B:$B,"Расход",Операции!$D:$D,"Аренда и коммуналка",Операции!$A:$A,"&gt;="&amp;DATE(2026,7,1),Операции!$A:$A,"&lt;="&amp;EOMONTH(DATE(2026,7,1),0))</f>
        <v>0</v>
      </c>
      <c r="I25" s="7">
        <f>SUMIFS(Операции!$E:$E,Операции!$B:$B,"Расход",Операции!$D:$D,"Аренда и коммуналка",Операции!$A:$A,"&gt;="&amp;DATE(2026,8,1),Операции!$A:$A,"&lt;="&amp;EOMONTH(DATE(2026,8,1),0))</f>
        <v>0</v>
      </c>
      <c r="J25" s="7">
        <f>SUMIFS(Операции!$E:$E,Операции!$B:$B,"Расход",Операции!$D:$D,"Аренда и коммуналка",Операции!$A:$A,"&gt;="&amp;DATE(2026,9,1),Операции!$A:$A,"&lt;="&amp;EOMONTH(DATE(2026,9,1),0))</f>
        <v>0</v>
      </c>
      <c r="K25" s="7">
        <f>SUMIFS(Операции!$E:$E,Операции!$B:$B,"Расход",Операции!$D:$D,"Аренда и коммуналка",Операции!$A:$A,"&gt;="&amp;DATE(2026,10,1),Операции!$A:$A,"&lt;="&amp;EOMONTH(DATE(2026,10,1),0))</f>
        <v>0</v>
      </c>
      <c r="L25" s="7">
        <f>SUMIFS(Операции!$E:$E,Операции!$B:$B,"Расход",Операции!$D:$D,"Аренда и коммуналка",Операции!$A:$A,"&gt;="&amp;DATE(2026,11,1),Операции!$A:$A,"&lt;="&amp;EOMONTH(DATE(2026,11,1),0))</f>
        <v>0</v>
      </c>
      <c r="M25" s="7">
        <f>SUMIFS(Операции!$E:$E,Операции!$B:$B,"Расход",Операции!$D:$D,"Аренда и коммуналка",Операции!$A:$A,"&gt;="&amp;DATE(2026,12,1),Операции!$A:$A,"&lt;="&amp;EOMONTH(DATE(2026,12,1),0))</f>
        <v>0</v>
      </c>
      <c r="N25" s="7">
        <f>SUM(B25:M25)</f>
        <v>180000</v>
      </c>
    </row>
    <row r="26" spans="1:14" x14ac:dyDescent="0.25">
      <c r="A26" t="s">
        <v>160</v>
      </c>
      <c r="B26" s="7">
        <f>SUMIFS(Операции!$E:$E,Операции!$B:$B,"Расход",Операции!$D:$D,"Бухгалтерия и юристы",Операции!$A:$A,"&gt;="&amp;DATE(2026,1,1),Операции!$A:$A,"&lt;="&amp;EOMONTH(DATE(2026,1,1),0))</f>
        <v>35000</v>
      </c>
      <c r="C26" s="7">
        <f>SUMIFS(Операции!$E:$E,Операции!$B:$B,"Расход",Операции!$D:$D,"Бухгалтерия и юристы",Операции!$A:$A,"&gt;="&amp;DATE(2026,2,1),Операции!$A:$A,"&lt;="&amp;EOMONTH(DATE(2026,2,1),0))</f>
        <v>35000</v>
      </c>
      <c r="D26" s="7">
        <f>SUMIFS(Операции!$E:$E,Операции!$B:$B,"Расход",Операции!$D:$D,"Бухгалтерия и юристы",Операции!$A:$A,"&gt;="&amp;DATE(2026,3,1),Операции!$A:$A,"&lt;="&amp;EOMONTH(DATE(2026,3,1),0))</f>
        <v>35000</v>
      </c>
      <c r="E26" s="7">
        <f>SUMIFS(Операции!$E:$E,Операции!$B:$B,"Расход",Операции!$D:$D,"Бухгалтерия и юристы",Операции!$A:$A,"&gt;="&amp;DATE(2026,4,1),Операции!$A:$A,"&lt;="&amp;EOMONTH(DATE(2026,4,1),0))</f>
        <v>0</v>
      </c>
      <c r="F26" s="7">
        <f>SUMIFS(Операции!$E:$E,Операции!$B:$B,"Расход",Операции!$D:$D,"Бухгалтерия и юристы",Операции!$A:$A,"&gt;="&amp;DATE(2026,5,1),Операции!$A:$A,"&lt;="&amp;EOMONTH(DATE(2026,5,1),0))</f>
        <v>0</v>
      </c>
      <c r="G26" s="7">
        <f>SUMIFS(Операции!$E:$E,Операции!$B:$B,"Расход",Операции!$D:$D,"Бухгалтерия и юристы",Операции!$A:$A,"&gt;="&amp;DATE(2026,6,1),Операции!$A:$A,"&lt;="&amp;EOMONTH(DATE(2026,6,1),0))</f>
        <v>0</v>
      </c>
      <c r="H26" s="7">
        <f>SUMIFS(Операции!$E:$E,Операции!$B:$B,"Расход",Операции!$D:$D,"Бухгалтерия и юристы",Операции!$A:$A,"&gt;="&amp;DATE(2026,7,1),Операции!$A:$A,"&lt;="&amp;EOMONTH(DATE(2026,7,1),0))</f>
        <v>0</v>
      </c>
      <c r="I26" s="7">
        <f>SUMIFS(Операции!$E:$E,Операции!$B:$B,"Расход",Операции!$D:$D,"Бухгалтерия и юристы",Операции!$A:$A,"&gt;="&amp;DATE(2026,8,1),Операции!$A:$A,"&lt;="&amp;EOMONTH(DATE(2026,8,1),0))</f>
        <v>0</v>
      </c>
      <c r="J26" s="7">
        <f>SUMIFS(Операции!$E:$E,Операции!$B:$B,"Расход",Операции!$D:$D,"Бухгалтерия и юристы",Операции!$A:$A,"&gt;="&amp;DATE(2026,9,1),Операции!$A:$A,"&lt;="&amp;EOMONTH(DATE(2026,9,1),0))</f>
        <v>0</v>
      </c>
      <c r="K26" s="7">
        <f>SUMIFS(Операции!$E:$E,Операции!$B:$B,"Расход",Операции!$D:$D,"Бухгалтерия и юристы",Операции!$A:$A,"&gt;="&amp;DATE(2026,10,1),Операции!$A:$A,"&lt;="&amp;EOMONTH(DATE(2026,10,1),0))</f>
        <v>0</v>
      </c>
      <c r="L26" s="7">
        <f>SUMIFS(Операции!$E:$E,Операции!$B:$B,"Расход",Операции!$D:$D,"Бухгалтерия и юристы",Операции!$A:$A,"&gt;="&amp;DATE(2026,11,1),Операции!$A:$A,"&lt;="&amp;EOMONTH(DATE(2026,11,1),0))</f>
        <v>0</v>
      </c>
      <c r="M26" s="7">
        <f>SUMIFS(Операции!$E:$E,Операции!$B:$B,"Расход",Операции!$D:$D,"Бухгалтерия и юристы",Операции!$A:$A,"&gt;="&amp;DATE(2026,12,1),Операции!$A:$A,"&lt;="&amp;EOMONTH(DATE(2026,12,1),0))</f>
        <v>0</v>
      </c>
      <c r="N26" s="7">
        <f>SUM(B26:M26)</f>
        <v>105000</v>
      </c>
    </row>
    <row r="27" spans="1:14" x14ac:dyDescent="0.25">
      <c r="A27" t="s">
        <v>161</v>
      </c>
      <c r="B27" s="7">
        <f>SUMIFS(Операции!$E:$E,Операции!$B:$B,"Расход",Операции!$D:$D,"Сервисы и подписки",Операции!$A:$A,"&gt;="&amp;DATE(2026,1,1),Операции!$A:$A,"&lt;="&amp;EOMONTH(DATE(2026,1,1),0))</f>
        <v>14000</v>
      </c>
      <c r="C27" s="7">
        <f>SUMIFS(Операции!$E:$E,Операции!$B:$B,"Расход",Операции!$D:$D,"Сервисы и подписки",Операции!$A:$A,"&gt;="&amp;DATE(2026,2,1),Операции!$A:$A,"&lt;="&amp;EOMONTH(DATE(2026,2,1),0))</f>
        <v>14000</v>
      </c>
      <c r="D27" s="7">
        <f>SUMIFS(Операции!$E:$E,Операции!$B:$B,"Расход",Операции!$D:$D,"Сервисы и подписки",Операции!$A:$A,"&gt;="&amp;DATE(2026,3,1),Операции!$A:$A,"&lt;="&amp;EOMONTH(DATE(2026,3,1),0))</f>
        <v>14000</v>
      </c>
      <c r="E27" s="7">
        <f>SUMIFS(Операции!$E:$E,Операции!$B:$B,"Расход",Операции!$D:$D,"Сервисы и подписки",Операции!$A:$A,"&gt;="&amp;DATE(2026,4,1),Операции!$A:$A,"&lt;="&amp;EOMONTH(DATE(2026,4,1),0))</f>
        <v>0</v>
      </c>
      <c r="F27" s="7">
        <f>SUMIFS(Операции!$E:$E,Операции!$B:$B,"Расход",Операции!$D:$D,"Сервисы и подписки",Операции!$A:$A,"&gt;="&amp;DATE(2026,5,1),Операции!$A:$A,"&lt;="&amp;EOMONTH(DATE(2026,5,1),0))</f>
        <v>0</v>
      </c>
      <c r="G27" s="7">
        <f>SUMIFS(Операции!$E:$E,Операции!$B:$B,"Расход",Операции!$D:$D,"Сервисы и подписки",Операции!$A:$A,"&gt;="&amp;DATE(2026,6,1),Операции!$A:$A,"&lt;="&amp;EOMONTH(DATE(2026,6,1),0))</f>
        <v>0</v>
      </c>
      <c r="H27" s="7">
        <f>SUMIFS(Операции!$E:$E,Операции!$B:$B,"Расход",Операции!$D:$D,"Сервисы и подписки",Операции!$A:$A,"&gt;="&amp;DATE(2026,7,1),Операции!$A:$A,"&lt;="&amp;EOMONTH(DATE(2026,7,1),0))</f>
        <v>0</v>
      </c>
      <c r="I27" s="7">
        <f>SUMIFS(Операции!$E:$E,Операции!$B:$B,"Расход",Операции!$D:$D,"Сервисы и подписки",Операции!$A:$A,"&gt;="&amp;DATE(2026,8,1),Операции!$A:$A,"&lt;="&amp;EOMONTH(DATE(2026,8,1),0))</f>
        <v>0</v>
      </c>
      <c r="J27" s="7">
        <f>SUMIFS(Операции!$E:$E,Операции!$B:$B,"Расход",Операции!$D:$D,"Сервисы и подписки",Операции!$A:$A,"&gt;="&amp;DATE(2026,9,1),Операции!$A:$A,"&lt;="&amp;EOMONTH(DATE(2026,9,1),0))</f>
        <v>0</v>
      </c>
      <c r="K27" s="7">
        <f>SUMIFS(Операции!$E:$E,Операции!$B:$B,"Расход",Операции!$D:$D,"Сервисы и подписки",Операции!$A:$A,"&gt;="&amp;DATE(2026,10,1),Операции!$A:$A,"&lt;="&amp;EOMONTH(DATE(2026,10,1),0))</f>
        <v>0</v>
      </c>
      <c r="L27" s="7">
        <f>SUMIFS(Операции!$E:$E,Операции!$B:$B,"Расход",Операции!$D:$D,"Сервисы и подписки",Операции!$A:$A,"&gt;="&amp;DATE(2026,11,1),Операции!$A:$A,"&lt;="&amp;EOMONTH(DATE(2026,11,1),0))</f>
        <v>0</v>
      </c>
      <c r="M27" s="7">
        <f>SUMIFS(Операции!$E:$E,Операции!$B:$B,"Расход",Операции!$D:$D,"Сервисы и подписки",Операции!$A:$A,"&gt;="&amp;DATE(2026,12,1),Операции!$A:$A,"&lt;="&amp;EOMONTH(DATE(2026,12,1),0))</f>
        <v>0</v>
      </c>
      <c r="N27" s="7">
        <f>SUM(B27:M27)</f>
        <v>42000</v>
      </c>
    </row>
    <row r="28" spans="1:14" x14ac:dyDescent="0.25">
      <c r="A28" t="s">
        <v>162</v>
      </c>
      <c r="B28" s="7">
        <f>SUMIFS(Операции!$E:$E,Операции!$B:$B,"Расход",Операции!$D:$D,"Банковские комиссии",Операции!$A:$A,"&gt;="&amp;DATE(2026,1,1),Операции!$A:$A,"&lt;="&amp;EOMONTH(DATE(2026,1,1),0))</f>
        <v>0</v>
      </c>
      <c r="C28" s="7">
        <f>SUMIFS(Операции!$E:$E,Операции!$B:$B,"Расход",Операции!$D:$D,"Банковские комиссии",Операции!$A:$A,"&gt;="&amp;DATE(2026,2,1),Операции!$A:$A,"&lt;="&amp;EOMONTH(DATE(2026,2,1),0))</f>
        <v>0</v>
      </c>
      <c r="D28" s="7">
        <f>SUMIFS(Операции!$E:$E,Операции!$B:$B,"Расход",Операции!$D:$D,"Банковские комиссии",Операции!$A:$A,"&gt;="&amp;DATE(2026,3,1),Операции!$A:$A,"&lt;="&amp;EOMONTH(DATE(2026,3,1),0))</f>
        <v>0</v>
      </c>
      <c r="E28" s="7">
        <f>SUMIFS(Операции!$E:$E,Операции!$B:$B,"Расход",Операции!$D:$D,"Банковские комиссии",Операции!$A:$A,"&gt;="&amp;DATE(2026,4,1),Операции!$A:$A,"&lt;="&amp;EOMONTH(DATE(2026,4,1),0))</f>
        <v>0</v>
      </c>
      <c r="F28" s="7">
        <f>SUMIFS(Операции!$E:$E,Операции!$B:$B,"Расход",Операции!$D:$D,"Банковские комиссии",Операции!$A:$A,"&gt;="&amp;DATE(2026,5,1),Операции!$A:$A,"&lt;="&amp;EOMONTH(DATE(2026,5,1),0))</f>
        <v>0</v>
      </c>
      <c r="G28" s="7">
        <f>SUMIFS(Операции!$E:$E,Операции!$B:$B,"Расход",Операции!$D:$D,"Банковские комиссии",Операции!$A:$A,"&gt;="&amp;DATE(2026,6,1),Операции!$A:$A,"&lt;="&amp;EOMONTH(DATE(2026,6,1),0))</f>
        <v>0</v>
      </c>
      <c r="H28" s="7">
        <f>SUMIFS(Операции!$E:$E,Операции!$B:$B,"Расход",Операции!$D:$D,"Банковские комиссии",Операции!$A:$A,"&gt;="&amp;DATE(2026,7,1),Операции!$A:$A,"&lt;="&amp;EOMONTH(DATE(2026,7,1),0))</f>
        <v>0</v>
      </c>
      <c r="I28" s="7">
        <f>SUMIFS(Операции!$E:$E,Операции!$B:$B,"Расход",Операции!$D:$D,"Банковские комиссии",Операции!$A:$A,"&gt;="&amp;DATE(2026,8,1),Операции!$A:$A,"&lt;="&amp;EOMONTH(DATE(2026,8,1),0))</f>
        <v>0</v>
      </c>
      <c r="J28" s="7">
        <f>SUMIFS(Операции!$E:$E,Операции!$B:$B,"Расход",Операции!$D:$D,"Банковские комиссии",Операции!$A:$A,"&gt;="&amp;DATE(2026,9,1),Операции!$A:$A,"&lt;="&amp;EOMONTH(DATE(2026,9,1),0))</f>
        <v>0</v>
      </c>
      <c r="K28" s="7">
        <f>SUMIFS(Операции!$E:$E,Операции!$B:$B,"Расход",Операции!$D:$D,"Банковские комиссии",Операции!$A:$A,"&gt;="&amp;DATE(2026,10,1),Операции!$A:$A,"&lt;="&amp;EOMONTH(DATE(2026,10,1),0))</f>
        <v>0</v>
      </c>
      <c r="L28" s="7">
        <f>SUMIFS(Операции!$E:$E,Операции!$B:$B,"Расход",Операции!$D:$D,"Банковские комиссии",Операции!$A:$A,"&gt;="&amp;DATE(2026,11,1),Операции!$A:$A,"&lt;="&amp;EOMONTH(DATE(2026,11,1),0))</f>
        <v>0</v>
      </c>
      <c r="M28" s="7">
        <f>SUMIFS(Операции!$E:$E,Операции!$B:$B,"Расход",Операции!$D:$D,"Банковские комиссии",Операции!$A:$A,"&gt;="&amp;DATE(2026,12,1),Операции!$A:$A,"&lt;="&amp;EOMONTH(DATE(2026,12,1),0))</f>
        <v>0</v>
      </c>
      <c r="N28" s="7">
        <f>SUM(B28:M28)</f>
        <v>0</v>
      </c>
    </row>
    <row r="29" spans="1:14" x14ac:dyDescent="0.25">
      <c r="A29" t="s">
        <v>163</v>
      </c>
      <c r="B29" s="7">
        <f>SUMIFS(Операции!$E:$E,Операции!$B:$B,"Расход",Операции!$D:$D,"Обучение и книги",Операции!$A:$A,"&gt;="&amp;DATE(2026,1,1),Операции!$A:$A,"&lt;="&amp;EOMONTH(DATE(2026,1,1),0))</f>
        <v>0</v>
      </c>
      <c r="C29" s="7">
        <f>SUMIFS(Операции!$E:$E,Операции!$B:$B,"Расход",Операции!$D:$D,"Обучение и книги",Операции!$A:$A,"&gt;="&amp;DATE(2026,2,1),Операции!$A:$A,"&lt;="&amp;EOMONTH(DATE(2026,2,1),0))</f>
        <v>0</v>
      </c>
      <c r="D29" s="7">
        <f>SUMIFS(Операции!$E:$E,Операции!$B:$B,"Расход",Операции!$D:$D,"Обучение и книги",Операции!$A:$A,"&gt;="&amp;DATE(2026,3,1),Операции!$A:$A,"&lt;="&amp;EOMONTH(DATE(2026,3,1),0))</f>
        <v>0</v>
      </c>
      <c r="E29" s="7">
        <f>SUMIFS(Операции!$E:$E,Операции!$B:$B,"Расход",Операции!$D:$D,"Обучение и книги",Операции!$A:$A,"&gt;="&amp;DATE(2026,4,1),Операции!$A:$A,"&lt;="&amp;EOMONTH(DATE(2026,4,1),0))</f>
        <v>0</v>
      </c>
      <c r="F29" s="7">
        <f>SUMIFS(Операции!$E:$E,Операции!$B:$B,"Расход",Операции!$D:$D,"Обучение и книги",Операции!$A:$A,"&gt;="&amp;DATE(2026,5,1),Операции!$A:$A,"&lt;="&amp;EOMONTH(DATE(2026,5,1),0))</f>
        <v>0</v>
      </c>
      <c r="G29" s="7">
        <f>SUMIFS(Операции!$E:$E,Операции!$B:$B,"Расход",Операции!$D:$D,"Обучение и книги",Операции!$A:$A,"&gt;="&amp;DATE(2026,6,1),Операции!$A:$A,"&lt;="&amp;EOMONTH(DATE(2026,6,1),0))</f>
        <v>0</v>
      </c>
      <c r="H29" s="7">
        <f>SUMIFS(Операции!$E:$E,Операции!$B:$B,"Расход",Операции!$D:$D,"Обучение и книги",Операции!$A:$A,"&gt;="&amp;DATE(2026,7,1),Операции!$A:$A,"&lt;="&amp;EOMONTH(DATE(2026,7,1),0))</f>
        <v>0</v>
      </c>
      <c r="I29" s="7">
        <f>SUMIFS(Операции!$E:$E,Операции!$B:$B,"Расход",Операции!$D:$D,"Обучение и книги",Операции!$A:$A,"&gt;="&amp;DATE(2026,8,1),Операции!$A:$A,"&lt;="&amp;EOMONTH(DATE(2026,8,1),0))</f>
        <v>0</v>
      </c>
      <c r="J29" s="7">
        <f>SUMIFS(Операции!$E:$E,Операции!$B:$B,"Расход",Операции!$D:$D,"Обучение и книги",Операции!$A:$A,"&gt;="&amp;DATE(2026,9,1),Операции!$A:$A,"&lt;="&amp;EOMONTH(DATE(2026,9,1),0))</f>
        <v>0</v>
      </c>
      <c r="K29" s="7">
        <f>SUMIFS(Операции!$E:$E,Операции!$B:$B,"Расход",Операции!$D:$D,"Обучение и книги",Операции!$A:$A,"&gt;="&amp;DATE(2026,10,1),Операции!$A:$A,"&lt;="&amp;EOMONTH(DATE(2026,10,1),0))</f>
        <v>0</v>
      </c>
      <c r="L29" s="7">
        <f>SUMIFS(Операции!$E:$E,Операции!$B:$B,"Расход",Операции!$D:$D,"Обучение и книги",Операции!$A:$A,"&gt;="&amp;DATE(2026,11,1),Операции!$A:$A,"&lt;="&amp;EOMONTH(DATE(2026,11,1),0))</f>
        <v>0</v>
      </c>
      <c r="M29" s="7">
        <f>SUMIFS(Операции!$E:$E,Операции!$B:$B,"Расход",Операции!$D:$D,"Обучение и книги",Операции!$A:$A,"&gt;="&amp;DATE(2026,12,1),Операции!$A:$A,"&lt;="&amp;EOMONTH(DATE(2026,12,1),0))</f>
        <v>0</v>
      </c>
      <c r="N29" s="7">
        <f>SUM(B29:M29)</f>
        <v>0</v>
      </c>
    </row>
    <row r="30" spans="1:14" s="3" customFormat="1" x14ac:dyDescent="0.25">
      <c r="A30" s="8" t="s">
        <v>164</v>
      </c>
      <c r="B30" s="9">
        <f>B13+B17+B21+B24</f>
        <v>549000</v>
      </c>
      <c r="C30" s="9">
        <f>C13+C17+C21+C24</f>
        <v>641000</v>
      </c>
      <c r="D30" s="9">
        <f>D13+D17+D21+D24</f>
        <v>724000</v>
      </c>
      <c r="E30" s="9">
        <f>E13+E17+E21+E24</f>
        <v>0</v>
      </c>
      <c r="F30" s="9">
        <f>F13+F17+F21+F24</f>
        <v>0</v>
      </c>
      <c r="G30" s="9">
        <f>G13+G17+G21+G24</f>
        <v>0</v>
      </c>
      <c r="H30" s="9">
        <f>H13+H17+H21+H24</f>
        <v>0</v>
      </c>
      <c r="I30" s="9">
        <f>I13+I17+I21+I24</f>
        <v>0</v>
      </c>
      <c r="J30" s="9">
        <f>J13+J17+J21+J24</f>
        <v>0</v>
      </c>
      <c r="K30" s="9">
        <f>K13+K17+K21+K24</f>
        <v>0</v>
      </c>
      <c r="L30" s="9">
        <f>L13+L17+L21+L24</f>
        <v>0</v>
      </c>
      <c r="M30" s="9">
        <f>M13+M17+M21+M24</f>
        <v>0</v>
      </c>
      <c r="N30" s="9">
        <f>SUM(B30:M30)</f>
        <v>1914000</v>
      </c>
    </row>
    <row r="31" spans="1:14" x14ac:dyDescent="0.25">
      <c r="A31" t="s">
        <v>165</v>
      </c>
      <c r="B31" s="12">
        <f>IF(B2=0,"",B17/B2)</f>
        <v>0.08571428571428572</v>
      </c>
      <c r="C31" s="12">
        <f>IF(C2=0,"",C17/C2)</f>
        <v>0.112</v>
      </c>
      <c r="D31" s="12">
        <f>IF(D2=0,"",D17/D2)</f>
        <v>0.14642857142857144</v>
      </c>
      <c r="E31" s="12" t="str">
        <f>IF(E2=0,"",E17/E2)</f>
        <v/>
      </c>
      <c r="F31" s="12" t="str">
        <f>IF(F2=0,"",F17/F2)</f>
        <v/>
      </c>
      <c r="G31" s="12" t="str">
        <f>IF(G2=0,"",G17/G2)</f>
        <v/>
      </c>
      <c r="H31" s="12" t="str">
        <f>IF(H2=0,"",H17/H2)</f>
        <v/>
      </c>
      <c r="I31" s="12" t="str">
        <f>IF(I2=0,"",I17/I2)</f>
        <v/>
      </c>
      <c r="J31" s="12" t="str">
        <f>IF(J2=0,"",J17/J2)</f>
        <v/>
      </c>
      <c r="K31" s="12" t="str">
        <f>IF(K2=0,"",K17/K2)</f>
        <v/>
      </c>
      <c r="L31" s="12" t="str">
        <f>IF(L2=0,"",L17/L2)</f>
        <v/>
      </c>
      <c r="M31" s="12" t="str">
        <f>IF(M2=0,"",M17/M2)</f>
        <v/>
      </c>
      <c r="N31" s="12">
        <f>IF(N2=0,"",N31/N2)</f>
        <v>0.11756756756756757</v>
      </c>
    </row>
    <row r="32" spans="1:14" x14ac:dyDescent="0.25">
      <c r="A32" t="s">
        <v>166</v>
      </c>
      <c r="B32" s="12">
        <f>IF(B2=0,"",(B13+B7)/B2)</f>
        <v>0.6666666666666666</v>
      </c>
      <c r="C32" s="12">
        <f>IF(C2=0,"",(C13+C7)/C2)</f>
        <v>0.572</v>
      </c>
      <c r="D32" s="12">
        <f>IF(D2=0,"",(D13+D7)/D2)</f>
        <v>0.5214285714285715</v>
      </c>
      <c r="E32" s="12" t="str">
        <f>IF(E2=0,"",(E13+E7)/E2)</f>
        <v/>
      </c>
      <c r="F32" s="12" t="str">
        <f>IF(F2=0,"",(F13+F7)/F2)</f>
        <v/>
      </c>
      <c r="G32" s="12" t="str">
        <f>IF(G2=0,"",(G13+G7)/G2)</f>
        <v/>
      </c>
      <c r="H32" s="12" t="str">
        <f>IF(H2=0,"",(H13+H7)/H2)</f>
        <v/>
      </c>
      <c r="I32" s="12" t="str">
        <f>IF(I2=0,"",(I13+I7)/I2)</f>
        <v/>
      </c>
      <c r="J32" s="12" t="str">
        <f>IF(J2=0,"",(J13+J7)/J2)</f>
        <v/>
      </c>
      <c r="K32" s="12" t="str">
        <f>IF(K2=0,"",(K13+K7)/K2)</f>
        <v/>
      </c>
      <c r="L32" s="12" t="str">
        <f>IF(L2=0,"",(L13+L7)/L2)</f>
        <v/>
      </c>
      <c r="M32" s="12" t="str">
        <f>IF(M2=0,"",(M13+M7)/M2)</f>
        <v/>
      </c>
      <c r="N32" s="12">
        <f>IF(N2=0,"",N32/N2)</f>
        <v>0.5797297297297297</v>
      </c>
    </row>
    <row r="33" spans="1:14" s="3" customFormat="1" x14ac:dyDescent="0.25">
      <c r="A33" s="10" t="s">
        <v>167</v>
      </c>
      <c r="B33" s="11">
        <f>B11-B30</f>
        <v>151000</v>
      </c>
      <c r="C33" s="11">
        <f>C11-C30</f>
        <v>174000</v>
      </c>
      <c r="D33" s="11">
        <f>D11-D30</f>
        <v>188000</v>
      </c>
      <c r="E33" s="11">
        <f>E11-E30</f>
        <v>0</v>
      </c>
      <c r="F33" s="11">
        <f>F11-F30</f>
        <v>0</v>
      </c>
      <c r="G33" s="11">
        <f>G11-G30</f>
        <v>0</v>
      </c>
      <c r="H33" s="11">
        <f>H11-H30</f>
        <v>0</v>
      </c>
      <c r="I33" s="11">
        <f>I11-I30</f>
        <v>0</v>
      </c>
      <c r="J33" s="11">
        <f>J11-J30</f>
        <v>0</v>
      </c>
      <c r="K33" s="11">
        <f>K11-K30</f>
        <v>0</v>
      </c>
      <c r="L33" s="11">
        <f>L11-L30</f>
        <v>0</v>
      </c>
      <c r="M33" s="11">
        <f>M11-M30</f>
        <v>0</v>
      </c>
      <c r="N33" s="11">
        <f>SUM(B33:M33)</f>
        <v>513000</v>
      </c>
    </row>
    <row r="34" spans="1:14" s="3" customFormat="1" x14ac:dyDescent="0.25">
      <c r="A34" s="13" t="s">
        <v>168</v>
      </c>
      <c r="B34" s="14">
        <f>SUMIFS(Операции!$E:$E,Операции!$B:$B,"Расход",Операции!$D:$D,"Налог с дохода",Операции!$A:$A,"&gt;="&amp;DATE(2026,1,1),Операции!$A:$A,"&lt;="&amp;EOMONTH(DATE(2026,1,1),0))+SUMIFS(Операции!$E:$E,Операции!$B:$B,"Расход",Операции!$D:$D,"Страховые взносы",Операции!$A:$A,"&gt;="&amp;DATE(2026,1,1),Операции!$A:$A,"&lt;="&amp;EOMONTH(DATE(2026,1,1),0))</f>
        <v>0</v>
      </c>
      <c r="C34" s="14">
        <f>SUMIFS(Операции!$E:$E,Операции!$B:$B,"Расход",Операции!$D:$D,"Налог с дохода",Операции!$A:$A,"&gt;="&amp;DATE(2026,2,1),Операции!$A:$A,"&lt;="&amp;EOMONTH(DATE(2026,2,1),0))+SUMIFS(Операции!$E:$E,Операции!$B:$B,"Расход",Операции!$D:$D,"Страховые взносы",Операции!$A:$A,"&gt;="&amp;DATE(2026,2,1),Операции!$A:$A,"&lt;="&amp;EOMONTH(DATE(2026,2,1),0))</f>
        <v>0</v>
      </c>
      <c r="D34" s="14">
        <f>SUMIFS(Операции!$E:$E,Операции!$B:$B,"Расход",Операции!$D:$D,"Налог с дохода",Операции!$A:$A,"&gt;="&amp;DATE(2026,3,1),Операции!$A:$A,"&lt;="&amp;EOMONTH(DATE(2026,3,1),0))+SUMIFS(Операции!$E:$E,Операции!$B:$B,"Расход",Операции!$D:$D,"Страховые взносы",Операции!$A:$A,"&gt;="&amp;DATE(2026,3,1),Операции!$A:$A,"&lt;="&amp;EOMONTH(DATE(2026,3,1),0))</f>
        <v>62000</v>
      </c>
      <c r="E34" s="14">
        <f>SUMIFS(Операции!$E:$E,Операции!$B:$B,"Расход",Операции!$D:$D,"Налог с дохода",Операции!$A:$A,"&gt;="&amp;DATE(2026,4,1),Операции!$A:$A,"&lt;="&amp;EOMONTH(DATE(2026,4,1),0))+SUMIFS(Операции!$E:$E,Операции!$B:$B,"Расход",Операции!$D:$D,"Страховые взносы",Операции!$A:$A,"&gt;="&amp;DATE(2026,4,1),Операции!$A:$A,"&lt;="&amp;EOMONTH(DATE(2026,4,1),0))</f>
        <v>0</v>
      </c>
      <c r="F34" s="14">
        <f>SUMIFS(Операции!$E:$E,Операции!$B:$B,"Расход",Операции!$D:$D,"Налог с дохода",Операции!$A:$A,"&gt;="&amp;DATE(2026,5,1),Операции!$A:$A,"&lt;="&amp;EOMONTH(DATE(2026,5,1),0))+SUMIFS(Операции!$E:$E,Операции!$B:$B,"Расход",Операции!$D:$D,"Страховые взносы",Операции!$A:$A,"&gt;="&amp;DATE(2026,5,1),Операции!$A:$A,"&lt;="&amp;EOMONTH(DATE(2026,5,1),0))</f>
        <v>0</v>
      </c>
      <c r="G34" s="14">
        <f>SUMIFS(Операции!$E:$E,Операции!$B:$B,"Расход",Операции!$D:$D,"Налог с дохода",Операции!$A:$A,"&gt;="&amp;DATE(2026,6,1),Операции!$A:$A,"&lt;="&amp;EOMONTH(DATE(2026,6,1),0))+SUMIFS(Операции!$E:$E,Операции!$B:$B,"Расход",Операции!$D:$D,"Страховые взносы",Операции!$A:$A,"&gt;="&amp;DATE(2026,6,1),Операции!$A:$A,"&lt;="&amp;EOMONTH(DATE(2026,6,1),0))</f>
        <v>0</v>
      </c>
      <c r="H34" s="14">
        <f>SUMIFS(Операции!$E:$E,Операции!$B:$B,"Расход",Операции!$D:$D,"Налог с дохода",Операции!$A:$A,"&gt;="&amp;DATE(2026,7,1),Операции!$A:$A,"&lt;="&amp;EOMONTH(DATE(2026,7,1),0))+SUMIFS(Операции!$E:$E,Операции!$B:$B,"Расход",Операции!$D:$D,"Страховые взносы",Операции!$A:$A,"&gt;="&amp;DATE(2026,7,1),Операции!$A:$A,"&lt;="&amp;EOMONTH(DATE(2026,7,1),0))</f>
        <v>0</v>
      </c>
      <c r="I34" s="14">
        <f>SUMIFS(Операции!$E:$E,Операции!$B:$B,"Расход",Операции!$D:$D,"Налог с дохода",Операции!$A:$A,"&gt;="&amp;DATE(2026,8,1),Операции!$A:$A,"&lt;="&amp;EOMONTH(DATE(2026,8,1),0))+SUMIFS(Операции!$E:$E,Операции!$B:$B,"Расход",Операции!$D:$D,"Страховые взносы",Операции!$A:$A,"&gt;="&amp;DATE(2026,8,1),Операции!$A:$A,"&lt;="&amp;EOMONTH(DATE(2026,8,1),0))</f>
        <v>0</v>
      </c>
      <c r="J34" s="14">
        <f>SUMIFS(Операции!$E:$E,Операции!$B:$B,"Расход",Операции!$D:$D,"Налог с дохода",Операции!$A:$A,"&gt;="&amp;DATE(2026,9,1),Операции!$A:$A,"&lt;="&amp;EOMONTH(DATE(2026,9,1),0))+SUMIFS(Операции!$E:$E,Операции!$B:$B,"Расход",Операции!$D:$D,"Страховые взносы",Операции!$A:$A,"&gt;="&amp;DATE(2026,9,1),Операции!$A:$A,"&lt;="&amp;EOMONTH(DATE(2026,9,1),0))</f>
        <v>0</v>
      </c>
      <c r="K34" s="14">
        <f>SUMIFS(Операции!$E:$E,Операции!$B:$B,"Расход",Операции!$D:$D,"Налог с дохода",Операции!$A:$A,"&gt;="&amp;DATE(2026,10,1),Операции!$A:$A,"&lt;="&amp;EOMONTH(DATE(2026,10,1),0))+SUMIFS(Операции!$E:$E,Операции!$B:$B,"Расход",Операции!$D:$D,"Страховые взносы",Операции!$A:$A,"&gt;="&amp;DATE(2026,10,1),Операции!$A:$A,"&lt;="&amp;EOMONTH(DATE(2026,10,1),0))</f>
        <v>0</v>
      </c>
      <c r="L34" s="14">
        <f>SUMIFS(Операции!$E:$E,Операции!$B:$B,"Расход",Операции!$D:$D,"Налог с дохода",Операции!$A:$A,"&gt;="&amp;DATE(2026,11,1),Операции!$A:$A,"&lt;="&amp;EOMONTH(DATE(2026,11,1),0))+SUMIFS(Операции!$E:$E,Операции!$B:$B,"Расход",Операции!$D:$D,"Страховые взносы",Операции!$A:$A,"&gt;="&amp;DATE(2026,11,1),Операции!$A:$A,"&lt;="&amp;EOMONTH(DATE(2026,11,1),0))</f>
        <v>0</v>
      </c>
      <c r="M34" s="14">
        <f>SUMIFS(Операции!$E:$E,Операции!$B:$B,"Расход",Операции!$D:$D,"Налог с дохода",Операции!$A:$A,"&gt;="&amp;DATE(2026,12,1),Операции!$A:$A,"&lt;="&amp;EOMONTH(DATE(2026,12,1),0))+SUMIFS(Операции!$E:$E,Операции!$B:$B,"Расход",Операции!$D:$D,"Страховые взносы",Операции!$A:$A,"&gt;="&amp;DATE(2026,12,1),Операции!$A:$A,"&lt;="&amp;EOMONTH(DATE(2026,12,1),0))</f>
        <v>0</v>
      </c>
      <c r="N34" s="14">
        <f>SUM(B34:M34)</f>
        <v>62000</v>
      </c>
    </row>
    <row r="35" spans="1:14" s="3" customFormat="1" x14ac:dyDescent="0.25">
      <c r="A35" s="15" t="s">
        <v>169</v>
      </c>
      <c r="B35" s="16">
        <f>B33-B34</f>
        <v>151000</v>
      </c>
      <c r="C35" s="16">
        <f>C33-C34</f>
        <v>174000</v>
      </c>
      <c r="D35" s="16">
        <f>D33-D34</f>
        <v>126000</v>
      </c>
      <c r="E35" s="16">
        <f>E33-E34</f>
        <v>0</v>
      </c>
      <c r="F35" s="16">
        <f>F33-F34</f>
        <v>0</v>
      </c>
      <c r="G35" s="16">
        <f>G33-G34</f>
        <v>0</v>
      </c>
      <c r="H35" s="16">
        <f>H33-H34</f>
        <v>0</v>
      </c>
      <c r="I35" s="16">
        <f>I33-I34</f>
        <v>0</v>
      </c>
      <c r="J35" s="16">
        <f>J33-J34</f>
        <v>0</v>
      </c>
      <c r="K35" s="16">
        <f>K33-K34</f>
        <v>0</v>
      </c>
      <c r="L35" s="16">
        <f>L33-L34</f>
        <v>0</v>
      </c>
      <c r="M35" s="16">
        <f>M33-M34</f>
        <v>0</v>
      </c>
      <c r="N35" s="16">
        <f>SUM(B35:M35)</f>
        <v>451000</v>
      </c>
    </row>
    <row r="36" spans="1:14" x14ac:dyDescent="0.25">
      <c r="A36" t="s">
        <v>170</v>
      </c>
      <c r="B36" s="12">
        <f>IF(B2=0,"",B35/B2)</f>
        <v>0.1438095238095238</v>
      </c>
      <c r="C36" s="12">
        <f>IF(C2=0,"",C35/C2)</f>
        <v>0.1392</v>
      </c>
      <c r="D36" s="12">
        <f>IF(D2=0,"",D35/D2)</f>
        <v>0.09</v>
      </c>
      <c r="E36" s="12" t="str">
        <f>IF(E2=0,"",E35/E2)</f>
        <v/>
      </c>
      <c r="F36" s="12" t="str">
        <f>IF(F2=0,"",F35/F2)</f>
        <v/>
      </c>
      <c r="G36" s="12" t="str">
        <f>IF(G2=0,"",G35/G2)</f>
        <v/>
      </c>
      <c r="H36" s="12" t="str">
        <f>IF(H2=0,"",H35/H2)</f>
        <v/>
      </c>
      <c r="I36" s="12" t="str">
        <f>IF(I2=0,"",I35/I2)</f>
        <v/>
      </c>
      <c r="J36" s="12" t="str">
        <f>IF(J2=0,"",J35/J2)</f>
        <v/>
      </c>
      <c r="K36" s="12" t="str">
        <f>IF(K2=0,"",K35/K2)</f>
        <v/>
      </c>
      <c r="L36" s="12" t="str">
        <f>IF(L2=0,"",L35/L2)</f>
        <v/>
      </c>
      <c r="M36" s="12" t="str">
        <f>IF(M2=0,"",M35/M2)</f>
        <v/>
      </c>
      <c r="N36" s="12">
        <f>IF(N2=0,"",N36/N2)</f>
        <v>0.1218918918918919</v>
      </c>
    </row>
    <row r="38" spans="1:1" s="17" customFormat="1" x14ac:dyDescent="0.25">
      <c r="A38" s="17" t="s">
        <v>171</v>
      </c>
    </row>
    <row r="39" spans="1:14" x14ac:dyDescent="0.25">
      <c r="A39" t="s">
        <v>172</v>
      </c>
      <c r="B39" s="7">
        <f>SUMIFS(Операции!$E:$E,Операции!$B:$B,"Расход",Операции!$D:$D,"Дивиденды",Операции!$A:$A,"&gt;="&amp;DATE(2026,1,1),Операции!$A:$A,"&lt;="&amp;EOMONTH(DATE(2026,1,1),0))</f>
        <v>0</v>
      </c>
      <c r="C39" s="7">
        <f>SUMIFS(Операции!$E:$E,Операции!$B:$B,"Расход",Операции!$D:$D,"Дивиденды",Операции!$A:$A,"&gt;="&amp;DATE(2026,2,1),Операции!$A:$A,"&lt;="&amp;EOMONTH(DATE(2026,2,1),0))</f>
        <v>0</v>
      </c>
      <c r="D39" s="7">
        <f>SUMIFS(Операции!$E:$E,Операции!$B:$B,"Расход",Операции!$D:$D,"Дивиденды",Операции!$A:$A,"&gt;="&amp;DATE(2026,3,1),Операции!$A:$A,"&lt;="&amp;EOMONTH(DATE(2026,3,1),0))</f>
        <v>150000</v>
      </c>
      <c r="E39" s="7">
        <f>SUMIFS(Операции!$E:$E,Операции!$B:$B,"Расход",Операции!$D:$D,"Дивиденды",Операции!$A:$A,"&gt;="&amp;DATE(2026,4,1),Операции!$A:$A,"&lt;="&amp;EOMONTH(DATE(2026,4,1),0))</f>
        <v>0</v>
      </c>
      <c r="F39" s="7">
        <f>SUMIFS(Операции!$E:$E,Операции!$B:$B,"Расход",Операции!$D:$D,"Дивиденды",Операции!$A:$A,"&gt;="&amp;DATE(2026,5,1),Операции!$A:$A,"&lt;="&amp;EOMONTH(DATE(2026,5,1),0))</f>
        <v>0</v>
      </c>
      <c r="G39" s="7">
        <f>SUMIFS(Операции!$E:$E,Операции!$B:$B,"Расход",Операции!$D:$D,"Дивиденды",Операции!$A:$A,"&gt;="&amp;DATE(2026,6,1),Операции!$A:$A,"&lt;="&amp;EOMONTH(DATE(2026,6,1),0))</f>
        <v>0</v>
      </c>
      <c r="H39" s="7">
        <f>SUMIFS(Операции!$E:$E,Операции!$B:$B,"Расход",Операции!$D:$D,"Дивиденды",Операции!$A:$A,"&gt;="&amp;DATE(2026,7,1),Операции!$A:$A,"&lt;="&amp;EOMONTH(DATE(2026,7,1),0))</f>
        <v>0</v>
      </c>
      <c r="I39" s="7">
        <f>SUMIFS(Операции!$E:$E,Операции!$B:$B,"Расход",Операции!$D:$D,"Дивиденды",Операции!$A:$A,"&gt;="&amp;DATE(2026,8,1),Операции!$A:$A,"&lt;="&amp;EOMONTH(DATE(2026,8,1),0))</f>
        <v>0</v>
      </c>
      <c r="J39" s="7">
        <f>SUMIFS(Операции!$E:$E,Операции!$B:$B,"Расход",Операции!$D:$D,"Дивиденды",Операции!$A:$A,"&gt;="&amp;DATE(2026,9,1),Операции!$A:$A,"&lt;="&amp;EOMONTH(DATE(2026,9,1),0))</f>
        <v>0</v>
      </c>
      <c r="K39" s="7">
        <f>SUMIFS(Операции!$E:$E,Операции!$B:$B,"Расход",Операции!$D:$D,"Дивиденды",Операции!$A:$A,"&gt;="&amp;DATE(2026,10,1),Операции!$A:$A,"&lt;="&amp;EOMONTH(DATE(2026,10,1),0))</f>
        <v>0</v>
      </c>
      <c r="L39" s="7">
        <f>SUMIFS(Операции!$E:$E,Операции!$B:$B,"Расход",Операции!$D:$D,"Дивиденды",Операции!$A:$A,"&gt;="&amp;DATE(2026,11,1),Операции!$A:$A,"&lt;="&amp;EOMONTH(DATE(2026,11,1),0))</f>
        <v>0</v>
      </c>
      <c r="M39" s="7">
        <f>SUMIFS(Операции!$E:$E,Операции!$B:$B,"Расход",Операции!$D:$D,"Дивиденды",Операции!$A:$A,"&gt;="&amp;DATE(2026,12,1),Операции!$A:$A,"&lt;="&amp;EOMONTH(DATE(2026,12,1),0))</f>
        <v>0</v>
      </c>
      <c r="N39" s="7">
        <f>SUM(B39:M39)</f>
        <v>150000</v>
      </c>
    </row>
    <row r="40" spans="1:14" x14ac:dyDescent="0.25">
      <c r="A40" t="s">
        <v>173</v>
      </c>
      <c r="B40" s="7">
        <f>SUMIFS(Операции!$E:$E,Операции!$B:$B,"Расход",Операции!$D:$D,"В фонд развития",Операции!$A:$A,"&gt;="&amp;DATE(2026,1,1),Операции!$A:$A,"&lt;="&amp;EOMONTH(DATE(2026,1,1),0))</f>
        <v>0</v>
      </c>
      <c r="C40" s="7">
        <f>SUMIFS(Операции!$E:$E,Операции!$B:$B,"Расход",Операции!$D:$D,"В фонд развития",Операции!$A:$A,"&gt;="&amp;DATE(2026,2,1),Операции!$A:$A,"&lt;="&amp;EOMONTH(DATE(2026,2,1),0))</f>
        <v>0</v>
      </c>
      <c r="D40" s="7">
        <f>SUMIFS(Операции!$E:$E,Операции!$B:$B,"Расход",Операции!$D:$D,"В фонд развития",Операции!$A:$A,"&gt;="&amp;DATE(2026,3,1),Операции!$A:$A,"&lt;="&amp;EOMONTH(DATE(2026,3,1),0))</f>
        <v>0</v>
      </c>
      <c r="E40" s="7">
        <f>SUMIFS(Операции!$E:$E,Операции!$B:$B,"Расход",Операции!$D:$D,"В фонд развития",Операции!$A:$A,"&gt;="&amp;DATE(2026,4,1),Операции!$A:$A,"&lt;="&amp;EOMONTH(DATE(2026,4,1),0))</f>
        <v>0</v>
      </c>
      <c r="F40" s="7">
        <f>SUMIFS(Операции!$E:$E,Операции!$B:$B,"Расход",Операции!$D:$D,"В фонд развития",Операции!$A:$A,"&gt;="&amp;DATE(2026,5,1),Операции!$A:$A,"&lt;="&amp;EOMONTH(DATE(2026,5,1),0))</f>
        <v>0</v>
      </c>
      <c r="G40" s="7">
        <f>SUMIFS(Операции!$E:$E,Операции!$B:$B,"Расход",Операции!$D:$D,"В фонд развития",Операции!$A:$A,"&gt;="&amp;DATE(2026,6,1),Операции!$A:$A,"&lt;="&amp;EOMONTH(DATE(2026,6,1),0))</f>
        <v>0</v>
      </c>
      <c r="H40" s="7">
        <f>SUMIFS(Операции!$E:$E,Операции!$B:$B,"Расход",Операции!$D:$D,"В фонд развития",Операции!$A:$A,"&gt;="&amp;DATE(2026,7,1),Операции!$A:$A,"&lt;="&amp;EOMONTH(DATE(2026,7,1),0))</f>
        <v>0</v>
      </c>
      <c r="I40" s="7">
        <f>SUMIFS(Операции!$E:$E,Операции!$B:$B,"Расход",Операции!$D:$D,"В фонд развития",Операции!$A:$A,"&gt;="&amp;DATE(2026,8,1),Операции!$A:$A,"&lt;="&amp;EOMONTH(DATE(2026,8,1),0))</f>
        <v>0</v>
      </c>
      <c r="J40" s="7">
        <f>SUMIFS(Операции!$E:$E,Операции!$B:$B,"Расход",Операции!$D:$D,"В фонд развития",Операции!$A:$A,"&gt;="&amp;DATE(2026,9,1),Операции!$A:$A,"&lt;="&amp;EOMONTH(DATE(2026,9,1),0))</f>
        <v>0</v>
      </c>
      <c r="K40" s="7">
        <f>SUMIFS(Операции!$E:$E,Операции!$B:$B,"Расход",Операции!$D:$D,"В фонд развития",Операции!$A:$A,"&gt;="&amp;DATE(2026,10,1),Операции!$A:$A,"&lt;="&amp;EOMONTH(DATE(2026,10,1),0))</f>
        <v>0</v>
      </c>
      <c r="L40" s="7">
        <f>SUMIFS(Операции!$E:$E,Операции!$B:$B,"Расход",Операции!$D:$D,"В фонд развития",Операции!$A:$A,"&gt;="&amp;DATE(2026,11,1),Операции!$A:$A,"&lt;="&amp;EOMONTH(DATE(2026,11,1),0))</f>
        <v>0</v>
      </c>
      <c r="M40" s="7">
        <f>SUMIFS(Операции!$E:$E,Операции!$B:$B,"Расход",Операции!$D:$D,"В фонд развития",Операции!$A:$A,"&gt;="&amp;DATE(2026,12,1),Операции!$A:$A,"&lt;="&amp;EOMONTH(DATE(2026,12,1),0))</f>
        <v>0</v>
      </c>
      <c r="N40" s="7">
        <f>SUM(B40:M40)</f>
        <v>0</v>
      </c>
    </row>
    <row r="41" spans="1:14" x14ac:dyDescent="0.25">
      <c r="A41" t="s">
        <v>174</v>
      </c>
      <c r="B41" s="7">
        <f>SUMIFS(Операции!$E:$E,Операции!$B:$B,"Расход",Операции!$D:$D,"В резервный фонд",Операции!$A:$A,"&gt;="&amp;DATE(2026,1,1),Операции!$A:$A,"&lt;="&amp;EOMONTH(DATE(2026,1,1),0))</f>
        <v>0</v>
      </c>
      <c r="C41" s="7">
        <f>SUMIFS(Операции!$E:$E,Операции!$B:$B,"Расход",Операции!$D:$D,"В резервный фонд",Операции!$A:$A,"&gt;="&amp;DATE(2026,2,1),Операции!$A:$A,"&lt;="&amp;EOMONTH(DATE(2026,2,1),0))</f>
        <v>0</v>
      </c>
      <c r="D41" s="7">
        <f>SUMIFS(Операции!$E:$E,Операции!$B:$B,"Расход",Операции!$D:$D,"В резервный фонд",Операции!$A:$A,"&gt;="&amp;DATE(2026,3,1),Операции!$A:$A,"&lt;="&amp;EOMONTH(DATE(2026,3,1),0))</f>
        <v>0</v>
      </c>
      <c r="E41" s="7">
        <f>SUMIFS(Операции!$E:$E,Операции!$B:$B,"Расход",Операции!$D:$D,"В резервный фонд",Операции!$A:$A,"&gt;="&amp;DATE(2026,4,1),Операции!$A:$A,"&lt;="&amp;EOMONTH(DATE(2026,4,1),0))</f>
        <v>0</v>
      </c>
      <c r="F41" s="7">
        <f>SUMIFS(Операции!$E:$E,Операции!$B:$B,"Расход",Операции!$D:$D,"В резервный фонд",Операции!$A:$A,"&gt;="&amp;DATE(2026,5,1),Операции!$A:$A,"&lt;="&amp;EOMONTH(DATE(2026,5,1),0))</f>
        <v>0</v>
      </c>
      <c r="G41" s="7">
        <f>SUMIFS(Операции!$E:$E,Операции!$B:$B,"Расход",Операции!$D:$D,"В резервный фонд",Операции!$A:$A,"&gt;="&amp;DATE(2026,6,1),Операции!$A:$A,"&lt;="&amp;EOMONTH(DATE(2026,6,1),0))</f>
        <v>0</v>
      </c>
      <c r="H41" s="7">
        <f>SUMIFS(Операции!$E:$E,Операции!$B:$B,"Расход",Операции!$D:$D,"В резервный фонд",Операции!$A:$A,"&gt;="&amp;DATE(2026,7,1),Операции!$A:$A,"&lt;="&amp;EOMONTH(DATE(2026,7,1),0))</f>
        <v>0</v>
      </c>
      <c r="I41" s="7">
        <f>SUMIFS(Операции!$E:$E,Операции!$B:$B,"Расход",Операции!$D:$D,"В резервный фонд",Операции!$A:$A,"&gt;="&amp;DATE(2026,8,1),Операции!$A:$A,"&lt;="&amp;EOMONTH(DATE(2026,8,1),0))</f>
        <v>0</v>
      </c>
      <c r="J41" s="7">
        <f>SUMIFS(Операции!$E:$E,Операции!$B:$B,"Расход",Операции!$D:$D,"В резервный фонд",Операции!$A:$A,"&gt;="&amp;DATE(2026,9,1),Операции!$A:$A,"&lt;="&amp;EOMONTH(DATE(2026,9,1),0))</f>
        <v>0</v>
      </c>
      <c r="K41" s="7">
        <f>SUMIFS(Операции!$E:$E,Операции!$B:$B,"Расход",Операции!$D:$D,"В резервный фонд",Операции!$A:$A,"&gt;="&amp;DATE(2026,10,1),Операции!$A:$A,"&lt;="&amp;EOMONTH(DATE(2026,10,1),0))</f>
        <v>0</v>
      </c>
      <c r="L41" s="7">
        <f>SUMIFS(Операции!$E:$E,Операции!$B:$B,"Расход",Операции!$D:$D,"В резервный фонд",Операции!$A:$A,"&gt;="&amp;DATE(2026,11,1),Операции!$A:$A,"&lt;="&amp;EOMONTH(DATE(2026,11,1),0))</f>
        <v>0</v>
      </c>
      <c r="M41" s="7">
        <f>SUMIFS(Операции!$E:$E,Операции!$B:$B,"Расход",Операции!$D:$D,"В резервный фонд",Операции!$A:$A,"&gt;="&amp;DATE(2026,12,1),Операции!$A:$A,"&lt;="&amp;EOMONTH(DATE(2026,12,1),0))</f>
        <v>0</v>
      </c>
      <c r="N41" s="7">
        <f>SUM(B41:M41)</f>
        <v>0</v>
      </c>
    </row>
    <row r="43" spans="1:1" s="18" customFormat="1" x14ac:dyDescent="0.25">
      <c r="A43" s="18" t="s">
        <v>175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40" customWidth="1"/>
    <col min="2" max="13" width="13" customWidth="1"/>
  </cols>
  <sheetData>
    <row r="1" ht="26" customHeight="1" spans="1:13" s="4" customFormat="1" x14ac:dyDescent="0.25">
      <c r="A1" s="4" t="s">
        <v>28</v>
      </c>
      <c r="B1" s="4" t="s">
        <v>124</v>
      </c>
      <c r="C1" s="4" t="s">
        <v>125</v>
      </c>
      <c r="D1" s="4" t="s">
        <v>126</v>
      </c>
      <c r="E1" s="4" t="s">
        <v>127</v>
      </c>
      <c r="F1" s="4" t="s">
        <v>128</v>
      </c>
      <c r="G1" s="4" t="s">
        <v>129</v>
      </c>
      <c r="H1" s="4" t="s">
        <v>130</v>
      </c>
      <c r="I1" s="4" t="s">
        <v>131</v>
      </c>
      <c r="J1" s="4" t="s">
        <v>132</v>
      </c>
      <c r="K1" s="4" t="s">
        <v>133</v>
      </c>
      <c r="L1" s="4" t="s">
        <v>134</v>
      </c>
      <c r="M1" s="4" t="s">
        <v>135</v>
      </c>
    </row>
    <row r="2" spans="1:13" s="3" customFormat="1" x14ac:dyDescent="0.25">
      <c r="A2" s="3" t="s">
        <v>137</v>
      </c>
      <c r="B2" s="19">
        <v>1000000</v>
      </c>
      <c r="C2" s="19">
        <v>1300000</v>
      </c>
      <c r="D2" s="19">
        <v>1500000</v>
      </c>
      <c r="E2" s="19"/>
      <c r="F2" s="19"/>
      <c r="G2" s="19"/>
      <c r="H2" s="19"/>
      <c r="I2" s="19"/>
      <c r="J2" s="19"/>
      <c r="K2" s="19"/>
      <c r="L2" s="19"/>
      <c r="M2" s="19"/>
    </row>
    <row r="3" spans="1:13" s="3" customFormat="1" x14ac:dyDescent="0.25">
      <c r="A3" s="3" t="s">
        <v>141</v>
      </c>
      <c r="B3" s="19">
        <v>350000</v>
      </c>
      <c r="C3" s="19">
        <v>440000</v>
      </c>
      <c r="D3" s="19">
        <v>500000</v>
      </c>
      <c r="E3" s="19"/>
      <c r="F3" s="19"/>
      <c r="G3" s="19"/>
      <c r="H3" s="19"/>
      <c r="I3" s="19"/>
      <c r="J3" s="19"/>
      <c r="K3" s="19"/>
      <c r="L3" s="19"/>
      <c r="M3" s="19"/>
    </row>
    <row r="4" spans="1:13" s="3" customFormat="1" x14ac:dyDescent="0.25">
      <c r="A4" s="3" t="s">
        <v>176</v>
      </c>
      <c r="B4" s="19">
        <v>550000</v>
      </c>
      <c r="C4" s="19">
        <v>620000</v>
      </c>
      <c r="D4" s="19">
        <v>700000</v>
      </c>
      <c r="E4" s="19"/>
      <c r="F4" s="19"/>
      <c r="G4" s="19"/>
      <c r="H4" s="19"/>
      <c r="I4" s="19"/>
      <c r="J4" s="19"/>
      <c r="K4" s="19"/>
      <c r="L4" s="19"/>
      <c r="M4" s="19"/>
    </row>
    <row r="5" spans="1:13" s="3" customFormat="1" x14ac:dyDescent="0.25">
      <c r="A5" s="3" t="s">
        <v>169</v>
      </c>
      <c r="B5" s="19">
        <v>100000</v>
      </c>
      <c r="C5" s="19">
        <v>240000</v>
      </c>
      <c r="D5" s="19">
        <v>300000</v>
      </c>
      <c r="E5" s="19"/>
      <c r="F5" s="19"/>
      <c r="G5" s="19"/>
      <c r="H5" s="19"/>
      <c r="I5" s="19"/>
      <c r="J5" s="19"/>
      <c r="K5" s="19"/>
      <c r="L5" s="19"/>
      <c r="M5" s="19"/>
    </row>
    <row r="7" spans="1:1" s="18" customFormat="1" x14ac:dyDescent="0.25">
      <c r="A7" s="18" t="s">
        <v>177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34" customWidth="1"/>
    <col min="2" max="2" width="13" customWidth="1"/>
    <col min="3" max="5" width="15" customWidth="1"/>
    <col min="6" max="6" width="12" customWidth="1"/>
  </cols>
  <sheetData>
    <row r="1" ht="26" customHeight="1" spans="1:6" s="4" customFormat="1" x14ac:dyDescent="0.25">
      <c r="A1" s="4" t="s">
        <v>178</v>
      </c>
      <c r="B1" s="4" t="s">
        <v>179</v>
      </c>
      <c r="C1" s="4" t="s">
        <v>180</v>
      </c>
      <c r="D1" s="4" t="s">
        <v>181</v>
      </c>
      <c r="E1" s="4" t="s">
        <v>182</v>
      </c>
      <c r="F1" s="4" t="s">
        <v>183</v>
      </c>
    </row>
    <row r="2" spans="1:6" x14ac:dyDescent="0.25">
      <c r="A2" t="s">
        <v>32</v>
      </c>
      <c r="B2" t="s">
        <v>124</v>
      </c>
      <c r="C2" s="7">
        <f>План!B2</f>
        <v>1000000</v>
      </c>
      <c r="D2" s="7">
        <f>БДР!B2</f>
        <v>1050000</v>
      </c>
      <c r="E2" s="7">
        <f>D2-C2</f>
        <v>50000</v>
      </c>
      <c r="F2" s="12">
        <f>IF(C2=0,"",D2/C2)</f>
        <v>1.05</v>
      </c>
    </row>
    <row r="3" spans="1:6" x14ac:dyDescent="0.25">
      <c r="A3" t="s">
        <v>50</v>
      </c>
      <c r="B3" t="s">
        <v>124</v>
      </c>
      <c r="C3" s="7">
        <f>План!B3</f>
        <v>350000</v>
      </c>
      <c r="D3" s="7">
        <f>БДР!B6</f>
        <v>350000</v>
      </c>
      <c r="E3" s="7">
        <f>D3-C3</f>
        <v>0</v>
      </c>
      <c r="F3" s="12">
        <f>IF(C3=0,"",D3/C3)</f>
        <v>1</v>
      </c>
    </row>
    <row r="4" spans="1:6" x14ac:dyDescent="0.25">
      <c r="A4" t="s">
        <v>184</v>
      </c>
      <c r="B4" t="s">
        <v>124</v>
      </c>
      <c r="C4" s="7">
        <f>План!B4</f>
        <v>550000</v>
      </c>
      <c r="D4" s="7">
        <f>БДР!B30</f>
        <v>549000</v>
      </c>
      <c r="E4" s="7">
        <f>D4-C4</f>
        <v>-1000</v>
      </c>
      <c r="F4" s="12">
        <f>IF(C4=0,"",D4/C4)</f>
        <v>0.9981818181818182</v>
      </c>
    </row>
    <row r="5" spans="1:6" x14ac:dyDescent="0.25">
      <c r="A5" t="s">
        <v>185</v>
      </c>
      <c r="B5" t="s">
        <v>124</v>
      </c>
      <c r="C5" s="7">
        <f>План!B5</f>
        <v>100000</v>
      </c>
      <c r="D5" s="7">
        <f>БДР!B35</f>
        <v>151000</v>
      </c>
      <c r="E5" s="7">
        <f>D5-C5</f>
        <v>51000</v>
      </c>
      <c r="F5" s="12">
        <f>IF(C5=0,"",D5/C5)</f>
        <v>1.51</v>
      </c>
    </row>
    <row r="6" spans="1:6" x14ac:dyDescent="0.25">
      <c r="A6" t="s">
        <v>32</v>
      </c>
      <c r="B6" t="s">
        <v>125</v>
      </c>
      <c r="C6" s="7">
        <f>План!C2</f>
        <v>1300000</v>
      </c>
      <c r="D6" s="7">
        <f>БДР!C2</f>
        <v>1250000</v>
      </c>
      <c r="E6" s="7">
        <f>D6-C6</f>
        <v>-50000</v>
      </c>
      <c r="F6" s="12">
        <f>IF(C6=0,"",D6/C6)</f>
        <v>0.9615384615384616</v>
      </c>
    </row>
    <row r="7" spans="1:6" x14ac:dyDescent="0.25">
      <c r="A7" t="s">
        <v>50</v>
      </c>
      <c r="B7" t="s">
        <v>125</v>
      </c>
      <c r="C7" s="7">
        <f>План!C3</f>
        <v>440000</v>
      </c>
      <c r="D7" s="7">
        <f>БДР!C6</f>
        <v>435000</v>
      </c>
      <c r="E7" s="7">
        <f>D7-C7</f>
        <v>-5000</v>
      </c>
      <c r="F7" s="12">
        <f>IF(C7=0,"",D7/C7)</f>
        <v>0.9886363636363636</v>
      </c>
    </row>
    <row r="8" spans="1:6" x14ac:dyDescent="0.25">
      <c r="A8" t="s">
        <v>184</v>
      </c>
      <c r="B8" t="s">
        <v>125</v>
      </c>
      <c r="C8" s="7">
        <f>План!C4</f>
        <v>620000</v>
      </c>
      <c r="D8" s="7">
        <f>БДР!C30</f>
        <v>641000</v>
      </c>
      <c r="E8" s="7">
        <f>D8-C8</f>
        <v>21000</v>
      </c>
      <c r="F8" s="12">
        <f>IF(C8=0,"",D8/C8)</f>
        <v>1.0338709677419355</v>
      </c>
    </row>
    <row r="9" spans="1:6" x14ac:dyDescent="0.25">
      <c r="A9" t="s">
        <v>185</v>
      </c>
      <c r="B9" t="s">
        <v>125</v>
      </c>
      <c r="C9" s="7">
        <f>План!C5</f>
        <v>240000</v>
      </c>
      <c r="D9" s="7">
        <f>БДР!C35</f>
        <v>174000</v>
      </c>
      <c r="E9" s="7">
        <f>D9-C9</f>
        <v>-66000</v>
      </c>
      <c r="F9" s="12">
        <f>IF(C9=0,"",D9/C9)</f>
        <v>0.725</v>
      </c>
    </row>
    <row r="10" spans="1:6" x14ac:dyDescent="0.25">
      <c r="A10" t="s">
        <v>32</v>
      </c>
      <c r="B10" t="s">
        <v>126</v>
      </c>
      <c r="C10" s="7">
        <f>План!D2</f>
        <v>1500000</v>
      </c>
      <c r="D10" s="7">
        <f>БДР!D2</f>
        <v>1400000</v>
      </c>
      <c r="E10" s="7">
        <f>D10-C10</f>
        <v>-100000</v>
      </c>
      <c r="F10" s="12">
        <f>IF(C10=0,"",D10/C10)</f>
        <v>0.9333333333333333</v>
      </c>
    </row>
    <row r="11" spans="1:6" x14ac:dyDescent="0.25">
      <c r="A11" t="s">
        <v>50</v>
      </c>
      <c r="B11" t="s">
        <v>126</v>
      </c>
      <c r="C11" s="7">
        <f>План!D3</f>
        <v>500000</v>
      </c>
      <c r="D11" s="7">
        <f>БДР!D6</f>
        <v>488000</v>
      </c>
      <c r="E11" s="7">
        <f>D11-C11</f>
        <v>-12000</v>
      </c>
      <c r="F11" s="12">
        <f>IF(C11=0,"",D11/C11)</f>
        <v>0.976</v>
      </c>
    </row>
    <row r="12" spans="1:6" x14ac:dyDescent="0.25">
      <c r="A12" t="s">
        <v>184</v>
      </c>
      <c r="B12" t="s">
        <v>126</v>
      </c>
      <c r="C12" s="7">
        <f>План!D4</f>
        <v>700000</v>
      </c>
      <c r="D12" s="7">
        <f>БДР!D30</f>
        <v>724000</v>
      </c>
      <c r="E12" s="7">
        <f>D12-C12</f>
        <v>24000</v>
      </c>
      <c r="F12" s="12">
        <f>IF(C12=0,"",D12/C12)</f>
        <v>1.0342857142857143</v>
      </c>
    </row>
    <row r="13" spans="1:6" x14ac:dyDescent="0.25">
      <c r="A13" t="s">
        <v>185</v>
      </c>
      <c r="B13" t="s">
        <v>126</v>
      </c>
      <c r="C13" s="7">
        <f>План!D5</f>
        <v>300000</v>
      </c>
      <c r="D13" s="7">
        <f>БДР!D35</f>
        <v>126000</v>
      </c>
      <c r="E13" s="7">
        <f>D13-C13</f>
        <v>-174000</v>
      </c>
      <c r="F13" s="12">
        <f>IF(C13=0,"",D13/C13)</f>
        <v>0.42</v>
      </c>
    </row>
    <row r="14" spans="1:6" x14ac:dyDescent="0.25">
      <c r="A14" t="s">
        <v>32</v>
      </c>
      <c r="B14" t="s">
        <v>127</v>
      </c>
      <c r="C14" s="7">
        <f>План!E2</f>
        <v>0</v>
      </c>
      <c r="D14" s="7">
        <f>БДР!E2</f>
        <v>0</v>
      </c>
      <c r="E14" s="7">
        <f>D14-C14</f>
        <v>0</v>
      </c>
      <c r="F14" s="12" t="str">
        <f>IF(C14=0,"",D14/C14)</f>
        <v/>
      </c>
    </row>
    <row r="15" spans="1:6" x14ac:dyDescent="0.25">
      <c r="A15" t="s">
        <v>50</v>
      </c>
      <c r="B15" t="s">
        <v>127</v>
      </c>
      <c r="C15" s="7">
        <f>План!E3</f>
        <v>0</v>
      </c>
      <c r="D15" s="7">
        <f>БДР!E6</f>
        <v>0</v>
      </c>
      <c r="E15" s="7">
        <f>D15-C15</f>
        <v>0</v>
      </c>
      <c r="F15" s="12" t="str">
        <f>IF(C15=0,"",D15/C15)</f>
        <v/>
      </c>
    </row>
    <row r="16" spans="1:6" x14ac:dyDescent="0.25">
      <c r="A16" t="s">
        <v>184</v>
      </c>
      <c r="B16" t="s">
        <v>127</v>
      </c>
      <c r="C16" s="7">
        <f>План!E4</f>
        <v>0</v>
      </c>
      <c r="D16" s="7">
        <f>БДР!E30</f>
        <v>0</v>
      </c>
      <c r="E16" s="7">
        <f>D16-C16</f>
        <v>0</v>
      </c>
      <c r="F16" s="12" t="str">
        <f>IF(C16=0,"",D16/C16)</f>
        <v/>
      </c>
    </row>
    <row r="17" spans="1:6" x14ac:dyDescent="0.25">
      <c r="A17" t="s">
        <v>185</v>
      </c>
      <c r="B17" t="s">
        <v>127</v>
      </c>
      <c r="C17" s="7">
        <f>План!E5</f>
        <v>0</v>
      </c>
      <c r="D17" s="7">
        <f>БДР!E35</f>
        <v>0</v>
      </c>
      <c r="E17" s="7">
        <f>D17-C17</f>
        <v>0</v>
      </c>
      <c r="F17" s="12" t="str">
        <f>IF(C17=0,"",D17/C17)</f>
        <v/>
      </c>
    </row>
    <row r="18" spans="1:6" x14ac:dyDescent="0.25">
      <c r="A18" t="s">
        <v>32</v>
      </c>
      <c r="B18" t="s">
        <v>128</v>
      </c>
      <c r="C18" s="7">
        <f>План!F2</f>
        <v>0</v>
      </c>
      <c r="D18" s="7">
        <f>БДР!F2</f>
        <v>0</v>
      </c>
      <c r="E18" s="7">
        <f>D18-C18</f>
        <v>0</v>
      </c>
      <c r="F18" s="12" t="str">
        <f>IF(C18=0,"",D18/C18)</f>
        <v/>
      </c>
    </row>
    <row r="19" spans="1:6" x14ac:dyDescent="0.25">
      <c r="A19" t="s">
        <v>50</v>
      </c>
      <c r="B19" t="s">
        <v>128</v>
      </c>
      <c r="C19" s="7">
        <f>План!F3</f>
        <v>0</v>
      </c>
      <c r="D19" s="7">
        <f>БДР!F6</f>
        <v>0</v>
      </c>
      <c r="E19" s="7">
        <f>D19-C19</f>
        <v>0</v>
      </c>
      <c r="F19" s="12" t="str">
        <f>IF(C19=0,"",D19/C19)</f>
        <v/>
      </c>
    </row>
    <row r="20" spans="1:6" x14ac:dyDescent="0.25">
      <c r="A20" t="s">
        <v>184</v>
      </c>
      <c r="B20" t="s">
        <v>128</v>
      </c>
      <c r="C20" s="7">
        <f>План!F4</f>
        <v>0</v>
      </c>
      <c r="D20" s="7">
        <f>БДР!F30</f>
        <v>0</v>
      </c>
      <c r="E20" s="7">
        <f>D20-C20</f>
        <v>0</v>
      </c>
      <c r="F20" s="12" t="str">
        <f>IF(C20=0,"",D20/C20)</f>
        <v/>
      </c>
    </row>
    <row r="21" spans="1:6" x14ac:dyDescent="0.25">
      <c r="A21" t="s">
        <v>185</v>
      </c>
      <c r="B21" t="s">
        <v>128</v>
      </c>
      <c r="C21" s="7">
        <f>План!F5</f>
        <v>0</v>
      </c>
      <c r="D21" s="7">
        <f>БДР!F35</f>
        <v>0</v>
      </c>
      <c r="E21" s="7">
        <f>D21-C21</f>
        <v>0</v>
      </c>
      <c r="F21" s="12" t="str">
        <f>IF(C21=0,"",D21/C21)</f>
        <v/>
      </c>
    </row>
    <row r="22" spans="1:6" x14ac:dyDescent="0.25">
      <c r="A22" t="s">
        <v>32</v>
      </c>
      <c r="B22" t="s">
        <v>129</v>
      </c>
      <c r="C22" s="7">
        <f>План!G2</f>
        <v>0</v>
      </c>
      <c r="D22" s="7">
        <f>БДР!G2</f>
        <v>0</v>
      </c>
      <c r="E22" s="7">
        <f>D22-C22</f>
        <v>0</v>
      </c>
      <c r="F22" s="12" t="str">
        <f>IF(C22=0,"",D22/C22)</f>
        <v/>
      </c>
    </row>
    <row r="23" spans="1:6" x14ac:dyDescent="0.25">
      <c r="A23" t="s">
        <v>50</v>
      </c>
      <c r="B23" t="s">
        <v>129</v>
      </c>
      <c r="C23" s="7">
        <f>План!G3</f>
        <v>0</v>
      </c>
      <c r="D23" s="7">
        <f>БДР!G6</f>
        <v>0</v>
      </c>
      <c r="E23" s="7">
        <f>D23-C23</f>
        <v>0</v>
      </c>
      <c r="F23" s="12" t="str">
        <f>IF(C23=0,"",D23/C23)</f>
        <v/>
      </c>
    </row>
    <row r="24" spans="1:6" x14ac:dyDescent="0.25">
      <c r="A24" t="s">
        <v>184</v>
      </c>
      <c r="B24" t="s">
        <v>129</v>
      </c>
      <c r="C24" s="7">
        <f>План!G4</f>
        <v>0</v>
      </c>
      <c r="D24" s="7">
        <f>БДР!G30</f>
        <v>0</v>
      </c>
      <c r="E24" s="7">
        <f>D24-C24</f>
        <v>0</v>
      </c>
      <c r="F24" s="12" t="str">
        <f>IF(C24=0,"",D24/C24)</f>
        <v/>
      </c>
    </row>
    <row r="25" spans="1:6" x14ac:dyDescent="0.25">
      <c r="A25" t="s">
        <v>185</v>
      </c>
      <c r="B25" t="s">
        <v>129</v>
      </c>
      <c r="C25" s="7">
        <f>План!G5</f>
        <v>0</v>
      </c>
      <c r="D25" s="7">
        <f>БДР!G35</f>
        <v>0</v>
      </c>
      <c r="E25" s="7">
        <f>D25-C25</f>
        <v>0</v>
      </c>
      <c r="F25" s="12" t="str">
        <f>IF(C25=0,"",D25/C25)</f>
        <v/>
      </c>
    </row>
    <row r="26" spans="1:6" x14ac:dyDescent="0.25">
      <c r="A26" t="s">
        <v>32</v>
      </c>
      <c r="B26" t="s">
        <v>130</v>
      </c>
      <c r="C26" s="7">
        <f>План!H2</f>
        <v>0</v>
      </c>
      <c r="D26" s="7">
        <f>БДР!H2</f>
        <v>0</v>
      </c>
      <c r="E26" s="7">
        <f>D26-C26</f>
        <v>0</v>
      </c>
      <c r="F26" s="12" t="str">
        <f>IF(C26=0,"",D26/C26)</f>
        <v/>
      </c>
    </row>
    <row r="27" spans="1:6" x14ac:dyDescent="0.25">
      <c r="A27" t="s">
        <v>50</v>
      </c>
      <c r="B27" t="s">
        <v>130</v>
      </c>
      <c r="C27" s="7">
        <f>План!H3</f>
        <v>0</v>
      </c>
      <c r="D27" s="7">
        <f>БДР!H6</f>
        <v>0</v>
      </c>
      <c r="E27" s="7">
        <f>D27-C27</f>
        <v>0</v>
      </c>
      <c r="F27" s="12" t="str">
        <f>IF(C27=0,"",D27/C27)</f>
        <v/>
      </c>
    </row>
    <row r="28" spans="1:6" x14ac:dyDescent="0.25">
      <c r="A28" t="s">
        <v>184</v>
      </c>
      <c r="B28" t="s">
        <v>130</v>
      </c>
      <c r="C28" s="7">
        <f>План!H4</f>
        <v>0</v>
      </c>
      <c r="D28" s="7">
        <f>БДР!H30</f>
        <v>0</v>
      </c>
      <c r="E28" s="7">
        <f>D28-C28</f>
        <v>0</v>
      </c>
      <c r="F28" s="12" t="str">
        <f>IF(C28=0,"",D28/C28)</f>
        <v/>
      </c>
    </row>
    <row r="29" spans="1:6" x14ac:dyDescent="0.25">
      <c r="A29" t="s">
        <v>185</v>
      </c>
      <c r="B29" t="s">
        <v>130</v>
      </c>
      <c r="C29" s="7">
        <f>План!H5</f>
        <v>0</v>
      </c>
      <c r="D29" s="7">
        <f>БДР!H35</f>
        <v>0</v>
      </c>
      <c r="E29" s="7">
        <f>D29-C29</f>
        <v>0</v>
      </c>
      <c r="F29" s="12" t="str">
        <f>IF(C29=0,"",D29/C29)</f>
        <v/>
      </c>
    </row>
    <row r="30" spans="1:6" x14ac:dyDescent="0.25">
      <c r="A30" t="s">
        <v>32</v>
      </c>
      <c r="B30" t="s">
        <v>131</v>
      </c>
      <c r="C30" s="7">
        <f>План!I2</f>
        <v>0</v>
      </c>
      <c r="D30" s="7">
        <f>БДР!I2</f>
        <v>0</v>
      </c>
      <c r="E30" s="7">
        <f>D30-C30</f>
        <v>0</v>
      </c>
      <c r="F30" s="12" t="str">
        <f>IF(C30=0,"",D30/C30)</f>
        <v/>
      </c>
    </row>
    <row r="31" spans="1:6" x14ac:dyDescent="0.25">
      <c r="A31" t="s">
        <v>50</v>
      </c>
      <c r="B31" t="s">
        <v>131</v>
      </c>
      <c r="C31" s="7">
        <f>План!I3</f>
        <v>0</v>
      </c>
      <c r="D31" s="7">
        <f>БДР!I6</f>
        <v>0</v>
      </c>
      <c r="E31" s="7">
        <f>D31-C31</f>
        <v>0</v>
      </c>
      <c r="F31" s="12" t="str">
        <f>IF(C31=0,"",D31/C31)</f>
        <v/>
      </c>
    </row>
    <row r="32" spans="1:6" x14ac:dyDescent="0.25">
      <c r="A32" t="s">
        <v>184</v>
      </c>
      <c r="B32" t="s">
        <v>131</v>
      </c>
      <c r="C32" s="7">
        <f>План!I4</f>
        <v>0</v>
      </c>
      <c r="D32" s="7">
        <f>БДР!I30</f>
        <v>0</v>
      </c>
      <c r="E32" s="7">
        <f>D32-C32</f>
        <v>0</v>
      </c>
      <c r="F32" s="12" t="str">
        <f>IF(C32=0,"",D32/C32)</f>
        <v/>
      </c>
    </row>
    <row r="33" spans="1:6" x14ac:dyDescent="0.25">
      <c r="A33" t="s">
        <v>185</v>
      </c>
      <c r="B33" t="s">
        <v>131</v>
      </c>
      <c r="C33" s="7">
        <f>План!I5</f>
        <v>0</v>
      </c>
      <c r="D33" s="7">
        <f>БДР!I35</f>
        <v>0</v>
      </c>
      <c r="E33" s="7">
        <f>D33-C33</f>
        <v>0</v>
      </c>
      <c r="F33" s="12" t="str">
        <f>IF(C33=0,"",D33/C33)</f>
        <v/>
      </c>
    </row>
    <row r="34" spans="1:6" x14ac:dyDescent="0.25">
      <c r="A34" t="s">
        <v>32</v>
      </c>
      <c r="B34" t="s">
        <v>132</v>
      </c>
      <c r="C34" s="7">
        <f>План!J2</f>
        <v>0</v>
      </c>
      <c r="D34" s="7">
        <f>БДР!J2</f>
        <v>0</v>
      </c>
      <c r="E34" s="7">
        <f>D34-C34</f>
        <v>0</v>
      </c>
      <c r="F34" s="12" t="str">
        <f>IF(C34=0,"",D34/C34)</f>
        <v/>
      </c>
    </row>
    <row r="35" spans="1:6" x14ac:dyDescent="0.25">
      <c r="A35" t="s">
        <v>50</v>
      </c>
      <c r="B35" t="s">
        <v>132</v>
      </c>
      <c r="C35" s="7">
        <f>План!J3</f>
        <v>0</v>
      </c>
      <c r="D35" s="7">
        <f>БДР!J6</f>
        <v>0</v>
      </c>
      <c r="E35" s="7">
        <f>D35-C35</f>
        <v>0</v>
      </c>
      <c r="F35" s="12" t="str">
        <f>IF(C35=0,"",D35/C35)</f>
        <v/>
      </c>
    </row>
    <row r="36" spans="1:6" x14ac:dyDescent="0.25">
      <c r="A36" t="s">
        <v>184</v>
      </c>
      <c r="B36" t="s">
        <v>132</v>
      </c>
      <c r="C36" s="7">
        <f>План!J4</f>
        <v>0</v>
      </c>
      <c r="D36" s="7">
        <f>БДР!J30</f>
        <v>0</v>
      </c>
      <c r="E36" s="7">
        <f>D36-C36</f>
        <v>0</v>
      </c>
      <c r="F36" s="12" t="str">
        <f>IF(C36=0,"",D36/C36)</f>
        <v/>
      </c>
    </row>
    <row r="37" spans="1:6" x14ac:dyDescent="0.25">
      <c r="A37" t="s">
        <v>185</v>
      </c>
      <c r="B37" t="s">
        <v>132</v>
      </c>
      <c r="C37" s="7">
        <f>План!J5</f>
        <v>0</v>
      </c>
      <c r="D37" s="7">
        <f>БДР!J35</f>
        <v>0</v>
      </c>
      <c r="E37" s="7">
        <f>D37-C37</f>
        <v>0</v>
      </c>
      <c r="F37" s="12" t="str">
        <f>IF(C37=0,"",D37/C37)</f>
        <v/>
      </c>
    </row>
    <row r="38" spans="1:6" x14ac:dyDescent="0.25">
      <c r="A38" t="s">
        <v>32</v>
      </c>
      <c r="B38" t="s">
        <v>133</v>
      </c>
      <c r="C38" s="7">
        <f>План!K2</f>
        <v>0</v>
      </c>
      <c r="D38" s="7">
        <f>БДР!K2</f>
        <v>0</v>
      </c>
      <c r="E38" s="7">
        <f>D38-C38</f>
        <v>0</v>
      </c>
      <c r="F38" s="12" t="str">
        <f>IF(C38=0,"",D38/C38)</f>
        <v/>
      </c>
    </row>
    <row r="39" spans="1:6" x14ac:dyDescent="0.25">
      <c r="A39" t="s">
        <v>50</v>
      </c>
      <c r="B39" t="s">
        <v>133</v>
      </c>
      <c r="C39" s="7">
        <f>План!K3</f>
        <v>0</v>
      </c>
      <c r="D39" s="7">
        <f>БДР!K6</f>
        <v>0</v>
      </c>
      <c r="E39" s="7">
        <f>D39-C39</f>
        <v>0</v>
      </c>
      <c r="F39" s="12" t="str">
        <f>IF(C39=0,"",D39/C39)</f>
        <v/>
      </c>
    </row>
    <row r="40" spans="1:6" x14ac:dyDescent="0.25">
      <c r="A40" t="s">
        <v>184</v>
      </c>
      <c r="B40" t="s">
        <v>133</v>
      </c>
      <c r="C40" s="7">
        <f>План!K4</f>
        <v>0</v>
      </c>
      <c r="D40" s="7">
        <f>БДР!K30</f>
        <v>0</v>
      </c>
      <c r="E40" s="7">
        <f>D40-C40</f>
        <v>0</v>
      </c>
      <c r="F40" s="12" t="str">
        <f>IF(C40=0,"",D40/C40)</f>
        <v/>
      </c>
    </row>
    <row r="41" spans="1:6" x14ac:dyDescent="0.25">
      <c r="A41" t="s">
        <v>185</v>
      </c>
      <c r="B41" t="s">
        <v>133</v>
      </c>
      <c r="C41" s="7">
        <f>План!K5</f>
        <v>0</v>
      </c>
      <c r="D41" s="7">
        <f>БДР!K35</f>
        <v>0</v>
      </c>
      <c r="E41" s="7">
        <f>D41-C41</f>
        <v>0</v>
      </c>
      <c r="F41" s="12" t="str">
        <f>IF(C41=0,"",D41/C41)</f>
        <v/>
      </c>
    </row>
    <row r="42" spans="1:6" x14ac:dyDescent="0.25">
      <c r="A42" t="s">
        <v>32</v>
      </c>
      <c r="B42" t="s">
        <v>134</v>
      </c>
      <c r="C42" s="7">
        <f>План!L2</f>
        <v>0</v>
      </c>
      <c r="D42" s="7">
        <f>БДР!L2</f>
        <v>0</v>
      </c>
      <c r="E42" s="7">
        <f>D42-C42</f>
        <v>0</v>
      </c>
      <c r="F42" s="12" t="str">
        <f>IF(C42=0,"",D42/C42)</f>
        <v/>
      </c>
    </row>
    <row r="43" spans="1:6" x14ac:dyDescent="0.25">
      <c r="A43" t="s">
        <v>50</v>
      </c>
      <c r="B43" t="s">
        <v>134</v>
      </c>
      <c r="C43" s="7">
        <f>План!L3</f>
        <v>0</v>
      </c>
      <c r="D43" s="7">
        <f>БДР!L6</f>
        <v>0</v>
      </c>
      <c r="E43" s="7">
        <f>D43-C43</f>
        <v>0</v>
      </c>
      <c r="F43" s="12" t="str">
        <f>IF(C43=0,"",D43/C43)</f>
        <v/>
      </c>
    </row>
    <row r="44" spans="1:6" x14ac:dyDescent="0.25">
      <c r="A44" t="s">
        <v>184</v>
      </c>
      <c r="B44" t="s">
        <v>134</v>
      </c>
      <c r="C44" s="7">
        <f>План!L4</f>
        <v>0</v>
      </c>
      <c r="D44" s="7">
        <f>БДР!L30</f>
        <v>0</v>
      </c>
      <c r="E44" s="7">
        <f>D44-C44</f>
        <v>0</v>
      </c>
      <c r="F44" s="12" t="str">
        <f>IF(C44=0,"",D44/C44)</f>
        <v/>
      </c>
    </row>
    <row r="45" spans="1:6" x14ac:dyDescent="0.25">
      <c r="A45" t="s">
        <v>185</v>
      </c>
      <c r="B45" t="s">
        <v>134</v>
      </c>
      <c r="C45" s="7">
        <f>План!L5</f>
        <v>0</v>
      </c>
      <c r="D45" s="7">
        <f>БДР!L35</f>
        <v>0</v>
      </c>
      <c r="E45" s="7">
        <f>D45-C45</f>
        <v>0</v>
      </c>
      <c r="F45" s="12" t="str">
        <f>IF(C45=0,"",D45/C45)</f>
        <v/>
      </c>
    </row>
    <row r="46" spans="1:6" x14ac:dyDescent="0.25">
      <c r="A46" t="s">
        <v>32</v>
      </c>
      <c r="B46" t="s">
        <v>135</v>
      </c>
      <c r="C46" s="7">
        <f>План!M2</f>
        <v>0</v>
      </c>
      <c r="D46" s="7">
        <f>БДР!M2</f>
        <v>0</v>
      </c>
      <c r="E46" s="7">
        <f>D46-C46</f>
        <v>0</v>
      </c>
      <c r="F46" s="12" t="str">
        <f>IF(C46=0,"",D46/C46)</f>
        <v/>
      </c>
    </row>
    <row r="47" spans="1:6" x14ac:dyDescent="0.25">
      <c r="A47" t="s">
        <v>50</v>
      </c>
      <c r="B47" t="s">
        <v>135</v>
      </c>
      <c r="C47" s="7">
        <f>План!M3</f>
        <v>0</v>
      </c>
      <c r="D47" s="7">
        <f>БДР!M6</f>
        <v>0</v>
      </c>
      <c r="E47" s="7">
        <f>D47-C47</f>
        <v>0</v>
      </c>
      <c r="F47" s="12" t="str">
        <f>IF(C47=0,"",D47/C47)</f>
        <v/>
      </c>
    </row>
    <row r="48" spans="1:6" x14ac:dyDescent="0.25">
      <c r="A48" t="s">
        <v>184</v>
      </c>
      <c r="B48" t="s">
        <v>135</v>
      </c>
      <c r="C48" s="7">
        <f>План!M4</f>
        <v>0</v>
      </c>
      <c r="D48" s="7">
        <f>БДР!M30</f>
        <v>0</v>
      </c>
      <c r="E48" s="7">
        <f>D48-C48</f>
        <v>0</v>
      </c>
      <c r="F48" s="12" t="str">
        <f>IF(C48=0,"",D48/C48)</f>
        <v/>
      </c>
    </row>
    <row r="49" spans="1:6" x14ac:dyDescent="0.25">
      <c r="A49" t="s">
        <v>185</v>
      </c>
      <c r="B49" t="s">
        <v>135</v>
      </c>
      <c r="C49" s="7">
        <f>План!M5</f>
        <v>0</v>
      </c>
      <c r="D49" s="7">
        <f>БДР!M35</f>
        <v>0</v>
      </c>
      <c r="E49" s="7">
        <f>D49-C49</f>
        <v>0</v>
      </c>
      <c r="F49" s="12" t="str">
        <f>IF(C49=0,"",D49/C49)</f>
        <v/>
      </c>
    </row>
  </sheetData>
  <autoFilter ref="A1:F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40" customWidth="1"/>
    <col min="2" max="5" width="18" customWidth="1"/>
  </cols>
  <sheetData>
    <row r="1" ht="26" customHeight="1" spans="1:5" s="4" customFormat="1" x14ac:dyDescent="0.25">
      <c r="A1" s="4" t="s">
        <v>186</v>
      </c>
      <c r="B1" s="4" t="s">
        <v>35</v>
      </c>
      <c r="C1" s="4" t="s">
        <v>38</v>
      </c>
      <c r="D1" s="4" t="s">
        <v>41</v>
      </c>
      <c r="E1" s="4" t="s">
        <v>187</v>
      </c>
    </row>
    <row r="2" spans="1:4" s="3" customFormat="1" x14ac:dyDescent="0.25">
      <c r="A2" s="3" t="s">
        <v>188</v>
      </c>
      <c r="B2" s="20">
        <v>46023</v>
      </c>
      <c r="C2" s="3" t="s">
        <v>189</v>
      </c>
      <c r="D2" s="20">
        <v>46112</v>
      </c>
    </row>
    <row r="3" spans="1:5" s="3" customFormat="1" x14ac:dyDescent="0.25">
      <c r="A3" s="8" t="s">
        <v>190</v>
      </c>
      <c r="B3" s="9">
        <f>SUMIFS(Операции!$E:$E,Операции!$B:$B,"Приход",Операции!$D:$D,"Выручка: основной продукт",Операции!$C:$C,"Продукт А",Операции!$A:$A,"&gt;="&amp;$B$2,Операции!$A:$A,"&lt;="&amp;$D$2)+SUMIFS(Операции!$E:$E,Операции!$B:$B,"Приход",Операции!$D:$D,"Выручка: второй продукт",Операции!$C:$C,"Продукт А",Операции!$A:$A,"&gt;="&amp;$B$2,Операции!$A:$A,"&lt;="&amp;$D$2)+SUMIFS(Операции!$E:$E,Операции!$B:$B,"Приход",Операции!$D:$D,"Выручка: разовые работы",Операции!$C:$C,"Продукт А",Операции!$A:$A,"&gt;="&amp;$B$2,Операции!$A:$A,"&lt;="&amp;$D$2)</f>
        <v>2400000</v>
      </c>
      <c r="C3" s="9">
        <f>SUMIFS(Операции!$E:$E,Операции!$B:$B,"Приход",Операции!$D:$D,"Выручка: основной продукт",Операции!$C:$C,"Продукт Б",Операции!$A:$A,"&gt;="&amp;$B$2,Операции!$A:$A,"&lt;="&amp;$D$2)+SUMIFS(Операции!$E:$E,Операции!$B:$B,"Приход",Операции!$D:$D,"Выручка: второй продукт",Операции!$C:$C,"Продукт Б",Операции!$A:$A,"&gt;="&amp;$B$2,Операции!$A:$A,"&lt;="&amp;$D$2)+SUMIFS(Операции!$E:$E,Операции!$B:$B,"Приход",Операции!$D:$D,"Выручка: разовые работы",Операции!$C:$C,"Продукт Б",Операции!$A:$A,"&gt;="&amp;$B$2,Операции!$A:$A,"&lt;="&amp;$D$2)</f>
        <v>920000</v>
      </c>
      <c r="D3" s="9">
        <f>SUMIFS(Операции!$E:$E,Операции!$B:$B,"Приход",Операции!$D:$D,"Выручка: основной продукт",Операции!$C:$C,"Услуги",Операции!$A:$A,"&gt;="&amp;$B$2,Операции!$A:$A,"&lt;="&amp;$D$2)+SUMIFS(Операции!$E:$E,Операции!$B:$B,"Приход",Операции!$D:$D,"Выручка: второй продукт",Операции!$C:$C,"Услуги",Операции!$A:$A,"&gt;="&amp;$B$2,Операции!$A:$A,"&lt;="&amp;$D$2)+SUMIFS(Операции!$E:$E,Операции!$B:$B,"Приход",Операции!$D:$D,"Выручка: разовые работы",Операции!$C:$C,"Услуги",Операции!$A:$A,"&gt;="&amp;$B$2,Операции!$A:$A,"&lt;="&amp;$D$2)</f>
        <v>380000</v>
      </c>
      <c r="E3" s="9">
        <f>SUM(B3:D3)</f>
        <v>3700000</v>
      </c>
    </row>
    <row r="4" spans="1:5" x14ac:dyDescent="0.25">
      <c r="A4" t="s">
        <v>50</v>
      </c>
      <c r="B4" s="7">
        <f>SUMIFS(Операции!$E:$E,Операции!$B:$B,"Расход",Операции!$D:$D,"ФОТ производства",Операции!$C:$C,"Продукт А",Операции!$A:$A,"&gt;="&amp;$B$2,Операции!$A:$A,"&lt;="&amp;$D$2)+SUMIFS(Операции!$E:$E,Операции!$B:$B,"Расход",Операции!$D:$D,"Подрядчики по проектам",Операции!$C:$C,"Продукт А",Операции!$A:$A,"&gt;="&amp;$B$2,Операции!$A:$A,"&lt;="&amp;$D$2)+SUMIFS(Операции!$E:$E,Операции!$B:$B,"Расход",Операции!$D:$D,"Сервисы под конкретный проект",Операции!$C:$C,"Продукт А",Операции!$A:$A,"&gt;="&amp;$B$2,Операции!$A:$A,"&lt;="&amp;$D$2)+SUMIFS(Операции!$E:$E,Операции!$B:$B,"Расход",Операции!$D:$D,"Материалы и закупка",Операции!$C:$C,"Продукт А",Операции!$A:$A,"&gt;="&amp;$B$2,Операции!$A:$A,"&lt;="&amp;$D$2)</f>
        <v>768000</v>
      </c>
      <c r="C4" s="7">
        <f>SUMIFS(Операции!$E:$E,Операции!$B:$B,"Расход",Операции!$D:$D,"ФОТ производства",Операции!$C:$C,"Продукт Б",Операции!$A:$A,"&gt;="&amp;$B$2,Операции!$A:$A,"&lt;="&amp;$D$2)+SUMIFS(Операции!$E:$E,Операции!$B:$B,"Расход",Операции!$D:$D,"Подрядчики по проектам",Операции!$C:$C,"Продукт Б",Операции!$A:$A,"&gt;="&amp;$B$2,Операции!$A:$A,"&lt;="&amp;$D$2)+SUMIFS(Операции!$E:$E,Операции!$B:$B,"Расход",Операции!$D:$D,"Сервисы под конкретный проект",Операции!$C:$C,"Продукт Б",Операции!$A:$A,"&gt;="&amp;$B$2,Операции!$A:$A,"&lt;="&amp;$D$2)+SUMIFS(Операции!$E:$E,Операции!$B:$B,"Расход",Операции!$D:$D,"Материалы и закупка",Операции!$C:$C,"Продукт Б",Операции!$A:$A,"&gt;="&amp;$B$2,Операции!$A:$A,"&lt;="&amp;$D$2)</f>
        <v>345000</v>
      </c>
      <c r="D4" s="7">
        <f>SUMIFS(Операции!$E:$E,Операции!$B:$B,"Расход",Операции!$D:$D,"ФОТ производства",Операции!$C:$C,"Услуги",Операции!$A:$A,"&gt;="&amp;$B$2,Операции!$A:$A,"&lt;="&amp;$D$2)+SUMIFS(Операции!$E:$E,Операции!$B:$B,"Расход",Операции!$D:$D,"Подрядчики по проектам",Операции!$C:$C,"Услуги",Операции!$A:$A,"&gt;="&amp;$B$2,Операции!$A:$A,"&lt;="&amp;$D$2)+SUMIFS(Операции!$E:$E,Операции!$B:$B,"Расход",Операции!$D:$D,"Сервисы под конкретный проект",Операции!$C:$C,"Услуги",Операции!$A:$A,"&gt;="&amp;$B$2,Операции!$A:$A,"&lt;="&amp;$D$2)+SUMIFS(Операции!$E:$E,Операции!$B:$B,"Расход",Операции!$D:$D,"Материалы и закупка",Операции!$C:$C,"Услуги",Операции!$A:$A,"&gt;="&amp;$B$2,Операции!$A:$A,"&lt;="&amp;$D$2)</f>
        <v>160000</v>
      </c>
      <c r="E4" s="7">
        <f>SUM(B4:D4)</f>
        <v>1273000</v>
      </c>
    </row>
    <row r="5" spans="1:5" s="3" customFormat="1" x14ac:dyDescent="0.25">
      <c r="A5" s="10" t="s">
        <v>191</v>
      </c>
      <c r="B5" s="11">
        <f>B3-B4</f>
        <v>1632000</v>
      </c>
      <c r="C5" s="11">
        <f>C3-C4</f>
        <v>575000</v>
      </c>
      <c r="D5" s="11">
        <f>D3-D4</f>
        <v>220000</v>
      </c>
      <c r="E5" s="11">
        <f>SUM(B5:D5)</f>
        <v>2427000</v>
      </c>
    </row>
    <row r="6" spans="1:5" x14ac:dyDescent="0.25">
      <c r="A6" t="s">
        <v>192</v>
      </c>
      <c r="B6" s="12">
        <f>IF($E$3=0,"",B3/$E$3)</f>
        <v>0.6486486486486487</v>
      </c>
      <c r="C6" s="12">
        <f>IF($E$3=0,"",C3/$E$3)</f>
        <v>0.24864864864864866</v>
      </c>
      <c r="D6" s="12">
        <f>IF($E$3=0,"",D3/$E$3)</f>
        <v>0.10270270270270271</v>
      </c>
      <c r="E6" s="12">
        <f>SUM(B6:D6)</f>
        <v>1</v>
      </c>
    </row>
    <row r="7" spans="1:5" s="18" customFormat="1" x14ac:dyDescent="0.25">
      <c r="A7" s="18" t="s">
        <v>193</v>
      </c>
      <c r="E7" s="21">
        <f>SUMIFS(Операции!$E:$E,Операции!$B:$B,"Расход",Операции!$D:$D,"ФОТ маркетинга",Операции!$C:$C,"Общее",Операции!$A:$A,"&gt;="&amp;$B$2,Операции!$A:$A,"&lt;="&amp;$D$2)+SUMIFS(Операции!$E:$E,Операции!$B:$B,"Расход",Операции!$D:$D,"ФОТ продаж",Операции!$C:$C,"Общее",Операции!$A:$A,"&gt;="&amp;$B$2,Операции!$A:$A,"&lt;="&amp;$D$2)+SUMIFS(Операции!$E:$E,Операции!$B:$B,"Расход",Операции!$D:$D,"ФОТ администрации",Операции!$C:$C,"Общее",Операции!$A:$A,"&gt;="&amp;$B$2,Операции!$A:$A,"&lt;="&amp;$D$2)+SUMIFS(Операции!$E:$E,Операции!$B:$B,"Расход",Операции!$D:$D,"Рекламные бюджеты",Операции!$C:$C,"Общее",Операции!$A:$A,"&gt;="&amp;$B$2,Операции!$A:$A,"&lt;="&amp;$D$2)+SUMIFS(Операции!$E:$E,Операции!$B:$B,"Расход",Операции!$D:$D,"Подрядчики маркетинга",Операции!$C:$C,"Общее",Операции!$A:$A,"&gt;="&amp;$B$2,Операции!$A:$A,"&lt;="&amp;$D$2)+SUMIFS(Операции!$E:$E,Операции!$B:$B,"Расход",Операции!$D:$D,"Контент и продакшн",Операции!$C:$C,"Общее",Операции!$A:$A,"&gt;="&amp;$B$2,Операции!$A:$A,"&lt;="&amp;$D$2)+SUMIFS(Операции!$E:$E,Операции!$B:$B,"Расход",Операции!$D:$D,"Комиссии и бонусы продавцов",Операции!$C:$C,"Общее",Операции!$A:$A,"&gt;="&amp;$B$2,Операции!$A:$A,"&lt;="&amp;$D$2)+SUMIFS(Операции!$E:$E,Операции!$B:$B,"Расход",Операции!$D:$D,"CRM и телефония",Операции!$C:$C,"Общее",Операции!$A:$A,"&gt;="&amp;$B$2,Операции!$A:$A,"&lt;="&amp;$D$2)+SUMIFS(Операции!$E:$E,Операции!$B:$B,"Расход",Операции!$D:$D,"Аренда и коммуналка",Операции!$C:$C,"Общее",Операции!$A:$A,"&gt;="&amp;$B$2,Операции!$A:$A,"&lt;="&amp;$D$2)+SUMIFS(Операции!$E:$E,Операции!$B:$B,"Расход",Операции!$D:$D,"Бухгалтерия и юристы",Операции!$C:$C,"Общее",Операции!$A:$A,"&gt;="&amp;$B$2,Операции!$A:$A,"&lt;="&amp;$D$2)+SUMIFS(Операции!$E:$E,Операции!$B:$B,"Расход",Операции!$D:$D,"Сервисы и подписки",Операции!$C:$C,"Общее",Операции!$A:$A,"&gt;="&amp;$B$2,Операции!$A:$A,"&lt;="&amp;$D$2)+SUMIFS(Операции!$E:$E,Операции!$B:$B,"Расход",Операции!$D:$D,"Банковские комиссии",Операции!$C:$C,"Общее",Операции!$A:$A,"&gt;="&amp;$B$2,Операции!$A:$A,"&lt;="&amp;$D$2)+SUMIFS(Операции!$E:$E,Операции!$B:$B,"Расход",Операции!$D:$D,"Обучение и книги",Операции!$C:$C,"Общее",Операции!$A:$A,"&gt;="&amp;$B$2,Операции!$A:$A,"&lt;="&amp;$D$2)</f>
        <v>1914000</v>
      </c>
    </row>
    <row r="8" spans="1:5" x14ac:dyDescent="0.25">
      <c r="A8" t="s">
        <v>194</v>
      </c>
      <c r="B8" s="7">
        <f>IF($E$6=0,"",$E$7*B6)</f>
        <v>1241513.5135135136</v>
      </c>
      <c r="C8" s="7">
        <f>IF($E$6=0,"",$E$7*C6)</f>
        <v>475913.51351351355</v>
      </c>
      <c r="D8" s="7">
        <f>IF($E$6=0,"",$E$7*D6)</f>
        <v>196572.972972973</v>
      </c>
      <c r="E8" s="7">
        <f>SUM(B8:D8)</f>
        <v>1914000.0000000002</v>
      </c>
    </row>
    <row r="9" spans="1:5" s="3" customFormat="1" x14ac:dyDescent="0.25">
      <c r="A9" s="15" t="s">
        <v>195</v>
      </c>
      <c r="B9" s="16">
        <f>B5-B8</f>
        <v>390486.4864864864</v>
      </c>
      <c r="C9" s="16">
        <f>C5-C8</f>
        <v>99086.48648648645</v>
      </c>
      <c r="D9" s="16">
        <f>D5-D8</f>
        <v>23427.027027027012</v>
      </c>
      <c r="E9" s="16">
        <f>SUM(B9:D9)</f>
        <v>512999.9999999999</v>
      </c>
    </row>
    <row r="10" spans="1:5" x14ac:dyDescent="0.25">
      <c r="A10" t="s">
        <v>196</v>
      </c>
      <c r="B10" s="12">
        <f>IF(B3=0,"",B9/B3)</f>
        <v>0.16270270270270265</v>
      </c>
      <c r="C10" s="12">
        <f>IF(C3=0,"",C9/C3)</f>
        <v>0.10770270270270266</v>
      </c>
      <c r="D10" s="12">
        <f>IF(D3=0,"",D9/D3)</f>
        <v>0.0616500711237553</v>
      </c>
      <c r="E10" s="12">
        <f>IF(E3=0,"",E9/E3)</f>
        <v>0.13864864864864862</v>
      </c>
    </row>
    <row r="12" spans="1:1" s="18" customFormat="1" x14ac:dyDescent="0.25">
      <c r="A12" s="18" t="s">
        <v>197</v>
      </c>
    </row>
    <row r="13" spans="1:1" s="18" customFormat="1" x14ac:dyDescent="0.25">
      <c r="A13" s="18" t="s">
        <v>198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40" customWidth="1"/>
    <col min="2" max="13" width="13" customWidth="1"/>
  </cols>
  <sheetData>
    <row r="1" ht="26" customHeight="1" spans="1:13" s="4" customFormat="1" x14ac:dyDescent="0.25">
      <c r="A1" s="4" t="s">
        <v>178</v>
      </c>
      <c r="B1" s="4" t="s">
        <v>124</v>
      </c>
      <c r="C1" s="4" t="s">
        <v>125</v>
      </c>
      <c r="D1" s="4" t="s">
        <v>126</v>
      </c>
      <c r="E1" s="4" t="s">
        <v>127</v>
      </c>
      <c r="F1" s="4" t="s">
        <v>128</v>
      </c>
      <c r="G1" s="4" t="s">
        <v>129</v>
      </c>
      <c r="H1" s="4" t="s">
        <v>130</v>
      </c>
      <c r="I1" s="4" t="s">
        <v>131</v>
      </c>
      <c r="J1" s="4" t="s">
        <v>132</v>
      </c>
      <c r="K1" s="4" t="s">
        <v>133</v>
      </c>
      <c r="L1" s="4" t="s">
        <v>134</v>
      </c>
      <c r="M1" s="4" t="s">
        <v>135</v>
      </c>
    </row>
    <row r="2" spans="1:13" x14ac:dyDescent="0.25">
      <c r="A2" t="s">
        <v>199</v>
      </c>
      <c r="B2" s="7">
        <f>SUMIFS(Операции!$E:$E,Операции!$B:$B,"Приход",Операции!$A:$A,"&gt;="&amp;DATE(2026,1,1),Операции!$A:$A,"&lt;="&amp;EOMONTH(DATE(2026,1,1),0))</f>
        <v>1050000</v>
      </c>
      <c r="C2" s="7">
        <f>SUMIFS(Операции!$E:$E,Операции!$B:$B,"Приход",Операции!$A:$A,"&gt;="&amp;DATE(2026,2,1),Операции!$A:$A,"&lt;="&amp;EOMONTH(DATE(2026,2,1),0))</f>
        <v>1250000</v>
      </c>
      <c r="D2" s="7">
        <f>SUMIFS(Операции!$E:$E,Операции!$B:$B,"Приход",Операции!$A:$A,"&gt;="&amp;DATE(2026,3,1),Операции!$A:$A,"&lt;="&amp;EOMONTH(DATE(2026,3,1),0))</f>
        <v>1400000</v>
      </c>
      <c r="E2" s="7">
        <f>SUMIFS(Операции!$E:$E,Операции!$B:$B,"Приход",Операции!$A:$A,"&gt;="&amp;DATE(2026,4,1),Операции!$A:$A,"&lt;="&amp;EOMONTH(DATE(2026,4,1),0))</f>
        <v>0</v>
      </c>
      <c r="F2" s="7">
        <f>SUMIFS(Операции!$E:$E,Операции!$B:$B,"Приход",Операции!$A:$A,"&gt;="&amp;DATE(2026,5,1),Операции!$A:$A,"&lt;="&amp;EOMONTH(DATE(2026,5,1),0))</f>
        <v>0</v>
      </c>
      <c r="G2" s="7">
        <f>SUMIFS(Операции!$E:$E,Операции!$B:$B,"Приход",Операции!$A:$A,"&gt;="&amp;DATE(2026,6,1),Операции!$A:$A,"&lt;="&amp;EOMONTH(DATE(2026,6,1),0))</f>
        <v>0</v>
      </c>
      <c r="H2" s="7">
        <f>SUMIFS(Операции!$E:$E,Операции!$B:$B,"Приход",Операции!$A:$A,"&gt;="&amp;DATE(2026,7,1),Операции!$A:$A,"&lt;="&amp;EOMONTH(DATE(2026,7,1),0))</f>
        <v>0</v>
      </c>
      <c r="I2" s="7">
        <f>SUMIFS(Операции!$E:$E,Операции!$B:$B,"Приход",Операции!$A:$A,"&gt;="&amp;DATE(2026,8,1),Операции!$A:$A,"&lt;="&amp;EOMONTH(DATE(2026,8,1),0))</f>
        <v>0</v>
      </c>
      <c r="J2" s="7">
        <f>SUMIFS(Операции!$E:$E,Операции!$B:$B,"Приход",Операции!$A:$A,"&gt;="&amp;DATE(2026,9,1),Операции!$A:$A,"&lt;="&amp;EOMONTH(DATE(2026,9,1),0))</f>
        <v>0</v>
      </c>
      <c r="K2" s="7">
        <f>SUMIFS(Операции!$E:$E,Операции!$B:$B,"Приход",Операции!$A:$A,"&gt;="&amp;DATE(2026,10,1),Операции!$A:$A,"&lt;="&amp;EOMONTH(DATE(2026,10,1),0))</f>
        <v>0</v>
      </c>
      <c r="L2" s="7">
        <f>SUMIFS(Операции!$E:$E,Операции!$B:$B,"Приход",Операции!$A:$A,"&gt;="&amp;DATE(2026,11,1),Операции!$A:$A,"&lt;="&amp;EOMONTH(DATE(2026,11,1),0))</f>
        <v>0</v>
      </c>
      <c r="M2" s="7">
        <f>SUMIFS(Операции!$E:$E,Операции!$B:$B,"Приход",Операции!$A:$A,"&gt;="&amp;DATE(2026,12,1),Операции!$A:$A,"&lt;="&amp;EOMONTH(DATE(2026,12,1),0))</f>
        <v>0</v>
      </c>
    </row>
    <row r="3" spans="1:13" x14ac:dyDescent="0.25">
      <c r="A3" t="s">
        <v>200</v>
      </c>
      <c r="B3" s="7">
        <f>SUMIFS(Операции!$E:$E,Операции!$B:$B,"Расход",Операции!$A:$A,"&gt;="&amp;DATE(2026,1,1),Операции!$A:$A,"&lt;="&amp;EOMONTH(DATE(2026,1,1),0))</f>
        <v>899000</v>
      </c>
      <c r="C3" s="7">
        <f>SUMIFS(Операции!$E:$E,Операции!$B:$B,"Расход",Операции!$A:$A,"&gt;="&amp;DATE(2026,2,1),Операции!$A:$A,"&lt;="&amp;EOMONTH(DATE(2026,2,1),0))</f>
        <v>1076000</v>
      </c>
      <c r="D3" s="7">
        <f>SUMIFS(Операции!$E:$E,Операции!$B:$B,"Расход",Операции!$A:$A,"&gt;="&amp;DATE(2026,3,1),Операции!$A:$A,"&lt;="&amp;EOMONTH(DATE(2026,3,1),0))</f>
        <v>1424000</v>
      </c>
      <c r="E3" s="7">
        <f>SUMIFS(Операции!$E:$E,Операции!$B:$B,"Расход",Операции!$A:$A,"&gt;="&amp;DATE(2026,4,1),Операции!$A:$A,"&lt;="&amp;EOMONTH(DATE(2026,4,1),0))</f>
        <v>0</v>
      </c>
      <c r="F3" s="7">
        <f>SUMIFS(Операции!$E:$E,Операции!$B:$B,"Расход",Операции!$A:$A,"&gt;="&amp;DATE(2026,5,1),Операции!$A:$A,"&lt;="&amp;EOMONTH(DATE(2026,5,1),0))</f>
        <v>0</v>
      </c>
      <c r="G3" s="7">
        <f>SUMIFS(Операции!$E:$E,Операции!$B:$B,"Расход",Операции!$A:$A,"&gt;="&amp;DATE(2026,6,1),Операции!$A:$A,"&lt;="&amp;EOMONTH(DATE(2026,6,1),0))</f>
        <v>0</v>
      </c>
      <c r="H3" s="7">
        <f>SUMIFS(Операции!$E:$E,Операции!$B:$B,"Расход",Операции!$A:$A,"&gt;="&amp;DATE(2026,7,1),Операции!$A:$A,"&lt;="&amp;EOMONTH(DATE(2026,7,1),0))</f>
        <v>0</v>
      </c>
      <c r="I3" s="7">
        <f>SUMIFS(Операции!$E:$E,Операции!$B:$B,"Расход",Операции!$A:$A,"&gt;="&amp;DATE(2026,8,1),Операции!$A:$A,"&lt;="&amp;EOMONTH(DATE(2026,8,1),0))</f>
        <v>0</v>
      </c>
      <c r="J3" s="7">
        <f>SUMIFS(Операции!$E:$E,Операции!$B:$B,"Расход",Операции!$A:$A,"&gt;="&amp;DATE(2026,9,1),Операции!$A:$A,"&lt;="&amp;EOMONTH(DATE(2026,9,1),0))</f>
        <v>0</v>
      </c>
      <c r="K3" s="7">
        <f>SUMIFS(Операции!$E:$E,Операции!$B:$B,"Расход",Операции!$A:$A,"&gt;="&amp;DATE(2026,10,1),Операции!$A:$A,"&lt;="&amp;EOMONTH(DATE(2026,10,1),0))</f>
        <v>0</v>
      </c>
      <c r="L3" s="7">
        <f>SUMIFS(Операции!$E:$E,Операции!$B:$B,"Расход",Операции!$A:$A,"&gt;="&amp;DATE(2026,11,1),Операции!$A:$A,"&lt;="&amp;EOMONTH(DATE(2026,11,1),0))</f>
        <v>0</v>
      </c>
      <c r="M3" s="7">
        <f>SUMIFS(Операции!$E:$E,Операции!$B:$B,"Расход",Операции!$A:$A,"&gt;="&amp;DATE(2026,12,1),Операции!$A:$A,"&lt;="&amp;EOMONTH(DATE(2026,12,1),0))</f>
        <v>0</v>
      </c>
    </row>
    <row r="4" spans="1:13" x14ac:dyDescent="0.25">
      <c r="A4" s="3" t="s">
        <v>201</v>
      </c>
      <c r="B4" s="19">
        <f>B2-B3</f>
        <v>151000</v>
      </c>
      <c r="C4" s="19">
        <f>C2-C3</f>
        <v>174000</v>
      </c>
      <c r="D4" s="19">
        <f>D2-D3</f>
        <v>-24000</v>
      </c>
      <c r="E4" s="19">
        <f>E2-E3</f>
        <v>0</v>
      </c>
      <c r="F4" s="19">
        <f>F2-F3</f>
        <v>0</v>
      </c>
      <c r="G4" s="19">
        <f>G2-G3</f>
        <v>0</v>
      </c>
      <c r="H4" s="19">
        <f>H2-H3</f>
        <v>0</v>
      </c>
      <c r="I4" s="19">
        <f>I2-I3</f>
        <v>0</v>
      </c>
      <c r="J4" s="19">
        <f>J2-J3</f>
        <v>0</v>
      </c>
      <c r="K4" s="19">
        <f>K2-K3</f>
        <v>0</v>
      </c>
      <c r="L4" s="19">
        <f>L2-L3</f>
        <v>0</v>
      </c>
      <c r="M4" s="19">
        <f>M2-M3</f>
        <v>0</v>
      </c>
    </row>
    <row r="5" spans="1:13" x14ac:dyDescent="0.25">
      <c r="A5" s="3" t="s">
        <v>202</v>
      </c>
      <c r="B5" s="19">
        <f>B4</f>
        <v>151000</v>
      </c>
      <c r="C5" s="19">
        <f>B5+C4</f>
        <v>325000</v>
      </c>
      <c r="D5" s="19">
        <f>C5+D4</f>
        <v>301000</v>
      </c>
      <c r="E5" s="19">
        <f>D5+E4</f>
        <v>301000</v>
      </c>
      <c r="F5" s="19">
        <f>E5+F4</f>
        <v>301000</v>
      </c>
      <c r="G5" s="19">
        <f>F5+G4</f>
        <v>301000</v>
      </c>
      <c r="H5" s="19">
        <f>G5+H4</f>
        <v>301000</v>
      </c>
      <c r="I5" s="19">
        <f>H5+I4</f>
        <v>301000</v>
      </c>
      <c r="J5" s="19">
        <f>I5+J4</f>
        <v>301000</v>
      </c>
      <c r="K5" s="19">
        <f>J5+K4</f>
        <v>301000</v>
      </c>
      <c r="L5" s="19">
        <f>K5+L4</f>
        <v>301000</v>
      </c>
      <c r="M5" s="19">
        <f>L5+M4</f>
        <v>301000</v>
      </c>
    </row>
    <row r="7" spans="1:1" s="18" customFormat="1" x14ac:dyDescent="0.25">
      <c r="A7" s="18" t="s">
        <v>203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2" width="22" customWidth="1"/>
    <col min="3" max="3" width="26" customWidth="1"/>
    <col min="4" max="4" width="16" customWidth="1"/>
    <col min="5" max="5" width="46" customWidth="1"/>
  </cols>
  <sheetData>
    <row r="1" ht="26" customHeight="1" spans="1:5" s="4" customFormat="1" x14ac:dyDescent="0.25">
      <c r="A1" s="4" t="s">
        <v>179</v>
      </c>
      <c r="B1" s="4" t="s">
        <v>204</v>
      </c>
      <c r="C1" s="4" t="s">
        <v>205</v>
      </c>
      <c r="D1" s="4" t="s">
        <v>206</v>
      </c>
      <c r="E1" s="4" t="s">
        <v>207</v>
      </c>
    </row>
    <row r="2" spans="1:4" x14ac:dyDescent="0.25">
      <c r="A2" t="s">
        <v>124</v>
      </c>
      <c r="B2" s="7">
        <f>ДДС!B5</f>
        <v>151000</v>
      </c>
      <c r="C2" s="7"/>
      <c r="D2" s="7" t="str">
        <f>IF(C2="","",B2-C2)</f>
        <v/>
      </c>
    </row>
    <row r="3" spans="1:4" x14ac:dyDescent="0.25">
      <c r="A3" t="s">
        <v>125</v>
      </c>
      <c r="B3" s="7">
        <f>ДДС!C5</f>
        <v>325000</v>
      </c>
      <c r="C3" s="7"/>
      <c r="D3" s="7" t="str">
        <f>IF(C3="","",B3-C3)</f>
        <v/>
      </c>
    </row>
    <row r="4" spans="1:4" x14ac:dyDescent="0.25">
      <c r="A4" t="s">
        <v>126</v>
      </c>
      <c r="B4" s="7">
        <f>ДДС!D5</f>
        <v>301000</v>
      </c>
      <c r="C4" s="7"/>
      <c r="D4" s="7" t="str">
        <f>IF(C4="","",B4-C4)</f>
        <v/>
      </c>
    </row>
    <row r="5" spans="1:4" x14ac:dyDescent="0.25">
      <c r="A5" t="s">
        <v>127</v>
      </c>
      <c r="B5" s="7">
        <f>ДДС!E5</f>
        <v>301000</v>
      </c>
      <c r="C5" s="7"/>
      <c r="D5" s="7" t="str">
        <f>IF(C5="","",B5-C5)</f>
        <v/>
      </c>
    </row>
    <row r="6" spans="1:4" x14ac:dyDescent="0.25">
      <c r="A6" t="s">
        <v>128</v>
      </c>
      <c r="B6" s="7">
        <f>ДДС!F5</f>
        <v>301000</v>
      </c>
      <c r="C6" s="7"/>
      <c r="D6" s="7" t="str">
        <f>IF(C6="","",B6-C6)</f>
        <v/>
      </c>
    </row>
    <row r="7" spans="1:4" x14ac:dyDescent="0.25">
      <c r="A7" t="s">
        <v>129</v>
      </c>
      <c r="B7" s="7">
        <f>ДДС!G5</f>
        <v>301000</v>
      </c>
      <c r="C7" s="7"/>
      <c r="D7" s="7" t="str">
        <f>IF(C7="","",B7-C7)</f>
        <v/>
      </c>
    </row>
    <row r="8" spans="1:4" x14ac:dyDescent="0.25">
      <c r="A8" t="s">
        <v>130</v>
      </c>
      <c r="B8" s="7">
        <f>ДДС!H5</f>
        <v>301000</v>
      </c>
      <c r="C8" s="7"/>
      <c r="D8" s="7" t="str">
        <f>IF(C8="","",B8-C8)</f>
        <v/>
      </c>
    </row>
    <row r="9" spans="1:4" x14ac:dyDescent="0.25">
      <c r="A9" t="s">
        <v>131</v>
      </c>
      <c r="B9" s="7">
        <f>ДДС!I5</f>
        <v>301000</v>
      </c>
      <c r="C9" s="7"/>
      <c r="D9" s="7" t="str">
        <f>IF(C9="","",B9-C9)</f>
        <v/>
      </c>
    </row>
    <row r="10" spans="1:4" x14ac:dyDescent="0.25">
      <c r="A10" t="s">
        <v>132</v>
      </c>
      <c r="B10" s="7">
        <f>ДДС!J5</f>
        <v>301000</v>
      </c>
      <c r="C10" s="7"/>
      <c r="D10" s="7" t="str">
        <f>IF(C10="","",B10-C10)</f>
        <v/>
      </c>
    </row>
    <row r="11" spans="1:4" x14ac:dyDescent="0.25">
      <c r="A11" t="s">
        <v>133</v>
      </c>
      <c r="B11" s="7">
        <f>ДДС!K5</f>
        <v>301000</v>
      </c>
      <c r="C11" s="7"/>
      <c r="D11" s="7" t="str">
        <f>IF(C11="","",B11-C11)</f>
        <v/>
      </c>
    </row>
    <row r="12" spans="1:4" x14ac:dyDescent="0.25">
      <c r="A12" t="s">
        <v>134</v>
      </c>
      <c r="B12" s="7">
        <f>ДДС!L5</f>
        <v>301000</v>
      </c>
      <c r="C12" s="7"/>
      <c r="D12" s="7" t="str">
        <f>IF(C12="","",B12-C12)</f>
        <v/>
      </c>
    </row>
    <row r="13" spans="1:4" x14ac:dyDescent="0.25">
      <c r="A13" t="s">
        <v>135</v>
      </c>
      <c r="B13" s="7">
        <f>ДДС!M5</f>
        <v>301000</v>
      </c>
      <c r="C13" s="7"/>
      <c r="D13" s="7" t="str">
        <f>IF(C13="","",B13-C13)</f>
        <v/>
      </c>
    </row>
    <row r="15" spans="1:1" s="18" customFormat="1" x14ac:dyDescent="0.25">
      <c r="A15" s="18" t="s">
        <v>208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Как пользоваться</vt:lpstr>
      <vt:lpstr>Справочник</vt:lpstr>
      <vt:lpstr>Операции</vt:lpstr>
      <vt:lpstr>БДР</vt:lpstr>
      <vt:lpstr>План</vt:lpstr>
      <vt:lpstr>План-факт</vt:lpstr>
      <vt:lpstr>По направлениям</vt:lpstr>
      <vt:lpstr>ДДС</vt:lpstr>
      <vt:lpstr>Сверка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Власов · antonvlasov.ru</dc:creator>
  <dc:title/>
  <dc:subject/>
  <dc:description/>
  <cp:keywords/>
  <cp:category/>
  <cp:lastModifiedBy>Unknown</cp:lastModifiedBy>
  <dcterms:created xsi:type="dcterms:W3CDTF">2026-07-27T00:00:00Z</dcterms:created>
  <dcterms:modified xsi:type="dcterms:W3CDTF">2026-07-27T09:44:30Z</dcterms:modified>
</cp:coreProperties>
</file>